
<file path=[Content_Types].xml><?xml version="1.0" encoding="utf-8"?>
<Types xmlns="http://schemas.openxmlformats.org/package/2006/content-types">
  <Default ContentType="image/gif" Extension="gif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UADRO 2.0" sheetId="1" r:id="rId5"/>
    <sheet state="visible" name="VOOS" sheetId="2" r:id="rId6"/>
    <sheet state="visible" name="SBV" sheetId="3" r:id="rId7"/>
    <sheet state="visible" name="ADAPT" sheetId="4" r:id="rId8"/>
    <sheet state="visible" name="ANV" sheetId="5" r:id="rId9"/>
    <sheet state="visible" name="AVISOS OPERACIONAIS" sheetId="6" r:id="rId10"/>
    <sheet state="visible" name="QUADRO" sheetId="7" r:id="rId11"/>
    <sheet state="hidden" name="INST" sheetId="8" r:id="rId12"/>
    <sheet state="hidden" name="Referências" sheetId="9" r:id="rId13"/>
  </sheets>
  <definedNames/>
  <calcPr/>
</workbook>
</file>

<file path=xl/sharedStrings.xml><?xml version="1.0" encoding="utf-8"?>
<sst xmlns="http://schemas.openxmlformats.org/spreadsheetml/2006/main" count="7795" uniqueCount="2378">
  <si>
    <t>QUADRO OPERACIONAL
2º Esquadrão de Transporte Aéreo</t>
  </si>
  <si>
    <t>✈️ ROTA</t>
  </si>
  <si>
    <t>📊 Saldos Esforço Aéreo</t>
  </si>
  <si>
    <t>🌥️ Meteorologia</t>
  </si>
  <si>
    <t>Projeto</t>
  </si>
  <si>
    <t>COMAE</t>
  </si>
  <si>
    <t>COMPREP</t>
  </si>
  <si>
    <t>C-95</t>
  </si>
  <si>
    <t>C-97</t>
  </si>
  <si>
    <t>C-98</t>
  </si>
  <si>
    <t>🏆 Pau de Sebo</t>
  </si>
  <si>
    <t>Geral</t>
  </si>
  <si>
    <t>🥇</t>
  </si>
  <si>
    <t>⭐</t>
  </si>
  <si>
    <t>✈️ LOCAL</t>
  </si>
  <si>
    <t>🥈</t>
  </si>
  <si>
    <t>🥉</t>
  </si>
  <si>
    <t>🧑‍✈️ Adaptação</t>
  </si>
  <si>
    <t>📅</t>
  </si>
  <si>
    <t>SBV C-95</t>
  </si>
  <si>
    <t>SBV C-97</t>
  </si>
  <si>
    <t>SBV C-98</t>
  </si>
  <si>
    <t>⚠️ Avisos Operacionais</t>
  </si>
  <si>
    <t>🛠️ Disponibilidade de Aeronaves</t>
  </si>
  <si>
    <t>✈️ ANV</t>
  </si>
  <si>
    <t>📋 SIT</t>
  </si>
  <si>
    <t>📅 DPI</t>
  </si>
  <si>
    <t>📅 DPE</t>
  </si>
  <si>
    <t>🕒 DISP (H)</t>
  </si>
  <si>
    <t>✍️ OBSERVAÇÕES</t>
  </si>
  <si>
    <t>TIPO</t>
  </si>
  <si>
    <t>DATA</t>
  </si>
  <si>
    <t>HORA (Z)</t>
  </si>
  <si>
    <t>TRIPULAÇÃO</t>
  </si>
  <si>
    <t>ROTA</t>
  </si>
  <si>
    <t>TEV</t>
  </si>
  <si>
    <t>OFRAG</t>
  </si>
  <si>
    <t>OMIS</t>
  </si>
  <si>
    <t>AERONAVE</t>
  </si>
  <si>
    <t>STATUS</t>
  </si>
  <si>
    <t>ATUAL</t>
  </si>
  <si>
    <t>LOCAL</t>
  </si>
  <si>
    <t>VNA / CFF / MDO</t>
  </si>
  <si>
    <t>TRF EMG</t>
  </si>
  <si>
    <t>-</t>
  </si>
  <si>
    <t>FAB 2719</t>
  </si>
  <si>
    <t>ARR</t>
  </si>
  <si>
    <t>SLS / CFF / MLO</t>
  </si>
  <si>
    <t>NT RF FZ *SL* NT</t>
  </si>
  <si>
    <t>2707 (V1)</t>
  </si>
  <si>
    <t>130</t>
  </si>
  <si>
    <t>MES / MAT / MAL / RDS</t>
  </si>
  <si>
    <t>W1 / W2</t>
  </si>
  <si>
    <t>FAB 2020</t>
  </si>
  <si>
    <t>MPL / VTZ /</t>
  </si>
  <si>
    <t>VERTICAL</t>
  </si>
  <si>
    <t>FAB 2722</t>
  </si>
  <si>
    <t>SOSP</t>
  </si>
  <si>
    <t>MES / LPS / BRS / DRY</t>
  </si>
  <si>
    <t>NT RF PS *GL* GV PS RF NT</t>
  </si>
  <si>
    <t>2690 (V3)</t>
  </si>
  <si>
    <t>131</t>
  </si>
  <si>
    <t>FER / DOG / LCN</t>
  </si>
  <si>
    <t>NT *SL* TE FZ RF NT</t>
  </si>
  <si>
    <t>132</t>
  </si>
  <si>
    <t>HAI / JVT</t>
  </si>
  <si>
    <t>W1</t>
  </si>
  <si>
    <t>EEXD</t>
  </si>
  <si>
    <t>FAB 2303</t>
  </si>
  <si>
    <t>SMAT</t>
  </si>
  <si>
    <t>GAM / PRD / CGM</t>
  </si>
  <si>
    <t>MES / LPS / AMC / DRY</t>
  </si>
  <si>
    <t xml:space="preserve">NT AR BH NT </t>
  </si>
  <si>
    <t>2772 (V1)</t>
  </si>
  <si>
    <t>133</t>
  </si>
  <si>
    <t>MPL / MHS / FRI</t>
  </si>
  <si>
    <t>CVI</t>
  </si>
  <si>
    <t xml:space="preserve">PCN / GMR / </t>
  </si>
  <si>
    <t>NT RF FN NT</t>
  </si>
  <si>
    <t>SOU / VTZ / REN</t>
  </si>
  <si>
    <t>NT RF SV *PS* SV RF NT</t>
  </si>
  <si>
    <t>134</t>
  </si>
  <si>
    <t>FAB 2318</t>
  </si>
  <si>
    <t>DAV / PCN / BRJ / VDG</t>
  </si>
  <si>
    <t>TRAFEGO</t>
  </si>
  <si>
    <t>GAM / PRD / BRS / FRA</t>
  </si>
  <si>
    <t>NT *SL* SNCW SL NT</t>
  </si>
  <si>
    <t>135</t>
  </si>
  <si>
    <t>HAI / AGU / PDU</t>
  </si>
  <si>
    <t>NT RF PL NT</t>
  </si>
  <si>
    <t>136</t>
  </si>
  <si>
    <t>HAI / RAY / BRN</t>
  </si>
  <si>
    <t>TRF VISUAL</t>
  </si>
  <si>
    <t>FAB 2335</t>
  </si>
  <si>
    <t>MHS / GMS / LCN</t>
  </si>
  <si>
    <t>SOU / PRD / BRS / MRO</t>
  </si>
  <si>
    <t>LPS / JVT / BTA</t>
  </si>
  <si>
    <t>VTZ / XAV / MDO</t>
  </si>
  <si>
    <t>VMAT</t>
  </si>
  <si>
    <t>LPS / JVT / SNT</t>
  </si>
  <si>
    <t>DAV / MHS / FRT</t>
  </si>
  <si>
    <t>XAV / PRD / AMC / FRA</t>
  </si>
  <si>
    <t>NT JP RF NT</t>
  </si>
  <si>
    <t>2889 (V2)</t>
  </si>
  <si>
    <t>138</t>
  </si>
  <si>
    <t>VOSP</t>
  </si>
  <si>
    <t>SOU / PRD / CGM / TOM</t>
  </si>
  <si>
    <t>NT PL NT</t>
  </si>
  <si>
    <t>2843 (V2)</t>
  </si>
  <si>
    <t>139</t>
  </si>
  <si>
    <t>MAT / SEI / MOR</t>
  </si>
  <si>
    <t>DAV / CNI / FRT</t>
  </si>
  <si>
    <t>STBY</t>
  </si>
  <si>
    <t>PCN / GMR / DRK</t>
  </si>
  <si>
    <t>NT *SV* BR</t>
  </si>
  <si>
    <t>2827 (V1)</t>
  </si>
  <si>
    <t>137</t>
  </si>
  <si>
    <t>SOU / MED / BRS</t>
  </si>
  <si>
    <t>W1 / W3 / VERT</t>
  </si>
  <si>
    <t>RDPT</t>
  </si>
  <si>
    <t>DAV / DOG / FRI</t>
  </si>
  <si>
    <t>MHS / FER / PDU</t>
  </si>
  <si>
    <t>XAV / STS / CGM</t>
  </si>
  <si>
    <t>MPL / DOG / MLO / TIB</t>
  </si>
  <si>
    <t>NT MS NT</t>
  </si>
  <si>
    <t>2906 (V3)</t>
  </si>
  <si>
    <t>140</t>
  </si>
  <si>
    <t>MES / MED / RDS / PON / MRA</t>
  </si>
  <si>
    <t>VNA / SLS / MLO / TIB</t>
  </si>
  <si>
    <t>BR PL RF *FN* RF NT</t>
  </si>
  <si>
    <t>2869 (V6)</t>
  </si>
  <si>
    <t>XAV / AEU / RDS</t>
  </si>
  <si>
    <t>SOU / PRD / CGM / MRO / FRA</t>
  </si>
  <si>
    <t>2915 (V1)</t>
  </si>
  <si>
    <t>141</t>
  </si>
  <si>
    <t>SEI / SUG / BRN</t>
  </si>
  <si>
    <t>FAB 2312</t>
  </si>
  <si>
    <t>HCK / BMK / BRN</t>
  </si>
  <si>
    <t>AEU / PRD / CGM / MRO / DRY</t>
  </si>
  <si>
    <t>NT RF *GL* BR NT</t>
  </si>
  <si>
    <t>2944 (V1)</t>
  </si>
  <si>
    <t>142</t>
  </si>
  <si>
    <t>PCN / GMR / SNT</t>
  </si>
  <si>
    <t>NT *RF* JU TE *IZ* TE NT</t>
  </si>
  <si>
    <t>2874 (V2)</t>
  </si>
  <si>
    <t>143</t>
  </si>
  <si>
    <t>XAV / DOG / REN</t>
  </si>
  <si>
    <t>NT RF *SV* RF NT</t>
  </si>
  <si>
    <t>2928 (V1)</t>
  </si>
  <si>
    <t>144</t>
  </si>
  <si>
    <t>JVT / BRJ / YUR</t>
  </si>
  <si>
    <t>NT RF FZ SL NT</t>
  </si>
  <si>
    <t>2969 (V1)</t>
  </si>
  <si>
    <t>145</t>
  </si>
  <si>
    <t>ALV / CNI / DVS</t>
  </si>
  <si>
    <t>MHS / CNI / DVS</t>
  </si>
  <si>
    <t>MED / PRD / AMC / STN / SIL</t>
  </si>
  <si>
    <t>JVT / BRJ / CNA</t>
  </si>
  <si>
    <t>NT *RF* FN RF TE *IZ* TE JU RF NT</t>
  </si>
  <si>
    <t>2975 (V4)</t>
  </si>
  <si>
    <t>146</t>
  </si>
  <si>
    <t>SLS / FER / TIB / ELI</t>
  </si>
  <si>
    <t>NT SV *SN3Y* SV NT</t>
  </si>
  <si>
    <t>2988 (V1)</t>
  </si>
  <si>
    <t>147</t>
  </si>
  <si>
    <t>SOU / STS / BRS</t>
  </si>
  <si>
    <t>XAV / STS / BRS</t>
  </si>
  <si>
    <t>MES / LPS /BRS</t>
  </si>
  <si>
    <t>AEU / PRD / RDS</t>
  </si>
  <si>
    <t>MAT / PRD / RDS</t>
  </si>
  <si>
    <t>SOU / AEU / PRD / STS / CGM / TOM</t>
  </si>
  <si>
    <t>NT RF SL RF NT</t>
  </si>
  <si>
    <t>3003 (V1)</t>
  </si>
  <si>
    <t>148</t>
  </si>
  <si>
    <t>MED/PRD/MAL/MOR/BRS/FRA/RLI</t>
  </si>
  <si>
    <t>NT BR CG</t>
  </si>
  <si>
    <t>SESQAE</t>
  </si>
  <si>
    <t>149</t>
  </si>
  <si>
    <t>HAI / CAR / CAS</t>
  </si>
  <si>
    <t>3006 (V1)</t>
  </si>
  <si>
    <t>150</t>
  </si>
  <si>
    <t>MES / RAY / BRN</t>
  </si>
  <si>
    <t>W1 / TRF</t>
  </si>
  <si>
    <t>DAV / STS</t>
  </si>
  <si>
    <t>SIMULADOR</t>
  </si>
  <si>
    <t>TRF</t>
  </si>
  <si>
    <t>STS / RAY / FTL</t>
  </si>
  <si>
    <t>HCK / BRJ / YUR</t>
  </si>
  <si>
    <t>NT RF TE NCW *SL* *NCW* TE RF NT</t>
  </si>
  <si>
    <t>3053 (V1)</t>
  </si>
  <si>
    <t>152</t>
  </si>
  <si>
    <t>DAV / RAY / FTL</t>
  </si>
  <si>
    <t xml:space="preserve">HAI / DAV / MLO </t>
  </si>
  <si>
    <t xml:space="preserve">AGU / CFF / MLO </t>
  </si>
  <si>
    <t>TRAF EMG</t>
  </si>
  <si>
    <t xml:space="preserve">CAR / BMK / DAM </t>
  </si>
  <si>
    <t>NT PL RF FN *RF* NT</t>
  </si>
  <si>
    <t>3063 (V1)</t>
  </si>
  <si>
    <t>153</t>
  </si>
  <si>
    <t>SEI / RAY / SWA</t>
  </si>
  <si>
    <t>MPL / CFF / FRI</t>
  </si>
  <si>
    <t>NT *SL* TE RF NT</t>
  </si>
  <si>
    <t>3081 (V1)</t>
  </si>
  <si>
    <t>154</t>
  </si>
  <si>
    <t>DAV / STS / SWA</t>
  </si>
  <si>
    <t>W1 TRAF</t>
  </si>
  <si>
    <t>CFI</t>
  </si>
  <si>
    <t>DAV / SEI / DAM</t>
  </si>
  <si>
    <t>TRAF</t>
  </si>
  <si>
    <t>STS / PCN / SWA</t>
  </si>
  <si>
    <t>SBSG</t>
  </si>
  <si>
    <t>VTZ / DOG / TIB / ELI</t>
  </si>
  <si>
    <t>NT SV *PS* 3Y SV *RF* SV 3Y SV *AR* RF NT</t>
  </si>
  <si>
    <t>3111 (V5)</t>
  </si>
  <si>
    <t>155</t>
  </si>
  <si>
    <t xml:space="preserve">XAV / VTZ / </t>
  </si>
  <si>
    <t>2 PROC. Ñ PRECISÃO + TRF EMG</t>
  </si>
  <si>
    <t xml:space="preserve">SOU / VNA / </t>
  </si>
  <si>
    <t>1 PROC. Ñ PRECISÃO + TRF EMG</t>
  </si>
  <si>
    <t>SOU / SLS / MDO</t>
  </si>
  <si>
    <t>NT SV PS *SV* 3Y SV NT</t>
  </si>
  <si>
    <t>3119 (V1)</t>
  </si>
  <si>
    <t>156</t>
  </si>
  <si>
    <t>SOU / VTZ / TIB</t>
  </si>
  <si>
    <t>LPS / BRJ / FTL</t>
  </si>
  <si>
    <t>CVI LOCAL (2 PREC / 2 Ñ PREC)</t>
  </si>
  <si>
    <t>MES / BMK / FTL</t>
  </si>
  <si>
    <t>LPS / SUG / SWA</t>
  </si>
  <si>
    <t>HAI / SEI / SWA</t>
  </si>
  <si>
    <t>CESTA BÁSICA (1 PREC / 1 Ñ PREC)</t>
  </si>
  <si>
    <t>DAV / SEI / SWA</t>
  </si>
  <si>
    <t>CFI NOTURNO</t>
  </si>
  <si>
    <t>MHS / DOG / REN</t>
  </si>
  <si>
    <t>W1 / VERT</t>
  </si>
  <si>
    <t>CAR / SUG / RDS</t>
  </si>
  <si>
    <t xml:space="preserve">NT AR BH SV NT </t>
  </si>
  <si>
    <t>3192 (V1)</t>
  </si>
  <si>
    <t>157</t>
  </si>
  <si>
    <t>HCK / BMK / SAL</t>
  </si>
  <si>
    <t>NT RF FN RF *PL* NT</t>
  </si>
  <si>
    <t>3200 (V1)</t>
  </si>
  <si>
    <t>VNA / GMS / HAK</t>
  </si>
  <si>
    <t>3238 (V1)</t>
  </si>
  <si>
    <t>158</t>
  </si>
  <si>
    <t>ALV / CNI / FRI</t>
  </si>
  <si>
    <t>NT RF AR *SV* AR RF NT</t>
  </si>
  <si>
    <t>3212(V13)</t>
  </si>
  <si>
    <t>159</t>
  </si>
  <si>
    <t>STS / SUG / CAS</t>
  </si>
  <si>
    <t>NT RF AR SV *PS* VT GL *BI*</t>
  </si>
  <si>
    <t>3208 (V2)</t>
  </si>
  <si>
    <t>STS / HCK / GMR / CAS</t>
  </si>
  <si>
    <t>BI CG CO BI</t>
  </si>
  <si>
    <t>3241 (V1)</t>
  </si>
  <si>
    <t>HAI / CFF / FRT / ELI</t>
  </si>
  <si>
    <t>NT FZ NT</t>
  </si>
  <si>
    <t>160</t>
  </si>
  <si>
    <t>CFF / FER / FRT</t>
  </si>
  <si>
    <t>HCK / GMR / VDG</t>
  </si>
  <si>
    <t>FAB 2347</t>
  </si>
  <si>
    <t>STS / RAY / BTA</t>
  </si>
  <si>
    <t>FAB 2317</t>
  </si>
  <si>
    <t>LPS / JVT / GTR</t>
  </si>
  <si>
    <t>NT MO NT</t>
  </si>
  <si>
    <t>3336 (V3)</t>
  </si>
  <si>
    <t>161</t>
  </si>
  <si>
    <t>VTZ / CNI / MLO / LCN</t>
  </si>
  <si>
    <t>LPS / HCK / SNT</t>
  </si>
  <si>
    <t>VERT</t>
  </si>
  <si>
    <t>GMS / DOG / TIB / PDU</t>
  </si>
  <si>
    <t>NT RF NT</t>
  </si>
  <si>
    <t>3404 (V1)</t>
  </si>
  <si>
    <t>162</t>
  </si>
  <si>
    <t>STS / BMK / BRD</t>
  </si>
  <si>
    <t>NT RF NT FN *RF* MO AR SV *3Y* VC RF NT</t>
  </si>
  <si>
    <t>3407 (V5)</t>
  </si>
  <si>
    <t>163</t>
  </si>
  <si>
    <t>SLS / CFF / PDU</t>
  </si>
  <si>
    <t>NT RF NT FZ NT</t>
  </si>
  <si>
    <t>3446 (V2)</t>
  </si>
  <si>
    <t>164</t>
  </si>
  <si>
    <t>XAV / CFF / LCN</t>
  </si>
  <si>
    <t>3451 (V2)</t>
  </si>
  <si>
    <t>165</t>
  </si>
  <si>
    <t>PCN / JVT / KAY</t>
  </si>
  <si>
    <t>JVT / SUG / KAY</t>
  </si>
  <si>
    <t>NT RF FZ NT</t>
  </si>
  <si>
    <t>3450 (V1)</t>
  </si>
  <si>
    <t>166</t>
  </si>
  <si>
    <t>HCK / GMR / BRD</t>
  </si>
  <si>
    <t>NT RF SV *PS* NT</t>
  </si>
  <si>
    <t>3447 (V1)</t>
  </si>
  <si>
    <t>167</t>
  </si>
  <si>
    <t>MAT / PRD / LFP / BRS / SIL</t>
  </si>
  <si>
    <t>CG *GR* LS MK SV NT</t>
  </si>
  <si>
    <t>3403 (V4)</t>
  </si>
  <si>
    <t>168</t>
  </si>
  <si>
    <t>DAV / SLS / TIB / ELI</t>
  </si>
  <si>
    <t>NT FZ RF NT</t>
  </si>
  <si>
    <t>3482 (V1)</t>
  </si>
  <si>
    <t>169</t>
  </si>
  <si>
    <t>CAR / BRJ / CAS</t>
  </si>
  <si>
    <t>NT FZ *RF* FN *RF* FZ RF *SV* SN3Y SV RF NT</t>
  </si>
  <si>
    <t>3486 (V1)</t>
  </si>
  <si>
    <t>170</t>
  </si>
  <si>
    <t>SOU / AGU / REN</t>
  </si>
  <si>
    <t>MHS / DOG / TIB / ELI</t>
  </si>
  <si>
    <t>3495 (V1)</t>
  </si>
  <si>
    <t>171</t>
  </si>
  <si>
    <t>SOU / MES / BRS</t>
  </si>
  <si>
    <t>MES / MED / BRS</t>
  </si>
  <si>
    <t>VNA / FER</t>
  </si>
  <si>
    <t>NACELE ORIENTADA</t>
  </si>
  <si>
    <t xml:space="preserve">VNA / CNI </t>
  </si>
  <si>
    <t>DAV / FER / REN</t>
  </si>
  <si>
    <t>DAV / CNI / LCN</t>
  </si>
  <si>
    <t>VTZ / CNI / MDO</t>
  </si>
  <si>
    <t>VNA / FER DVS</t>
  </si>
  <si>
    <t>AGU / GMS / TIB / ELI</t>
  </si>
  <si>
    <t>NT SV *PS* AR NT</t>
  </si>
  <si>
    <t>3513 (V2)</t>
  </si>
  <si>
    <t>172</t>
  </si>
  <si>
    <t>MED / PRD / BRS / RLI</t>
  </si>
  <si>
    <t>NT AN *GL* 3Y SV RF NT</t>
  </si>
  <si>
    <t>3528 (V3)</t>
  </si>
  <si>
    <t>SOU / STS / BRS / MRA</t>
  </si>
  <si>
    <t>3538 (V2)</t>
  </si>
  <si>
    <t>173</t>
  </si>
  <si>
    <t>MPL / GMS / MDO</t>
  </si>
  <si>
    <t>VNA / MHS / CFF / PDU</t>
  </si>
  <si>
    <t>NT RF MO AR *SV* VT GL ... *SC* SV RF NT</t>
  </si>
  <si>
    <t>3541 (V3)</t>
  </si>
  <si>
    <t>174</t>
  </si>
  <si>
    <t>RAY / HCK / YUR</t>
  </si>
  <si>
    <t>NT RF SV NT</t>
  </si>
  <si>
    <t>3559 (V1)</t>
  </si>
  <si>
    <t>175</t>
  </si>
  <si>
    <t>GL BI CO *BI* YS AN SC</t>
  </si>
  <si>
    <t>3565 (V3)</t>
  </si>
  <si>
    <t>176</t>
  </si>
  <si>
    <t>SOU / SEI / MAL / MRA</t>
  </si>
  <si>
    <t>3556 (V1)</t>
  </si>
  <si>
    <t>177</t>
  </si>
  <si>
    <t>PCN / JVT / RDS</t>
  </si>
  <si>
    <t>MED / PRD / BRS / MRA</t>
  </si>
  <si>
    <t>NT RF SV VT *GR* BR PS RF NT</t>
  </si>
  <si>
    <t>3581 (V4)</t>
  </si>
  <si>
    <t>178</t>
  </si>
  <si>
    <t>HCK / BMK / YUR / MOR</t>
  </si>
  <si>
    <t>NT RF TE *IZ* TE RF NT</t>
  </si>
  <si>
    <t>3585 (V1)</t>
  </si>
  <si>
    <t>179</t>
  </si>
  <si>
    <t>SOU / STS / MAL / CGM / MRO</t>
  </si>
  <si>
    <t>NT SV GP GR</t>
  </si>
  <si>
    <t>3596 (V1)</t>
  </si>
  <si>
    <t>180</t>
  </si>
  <si>
    <t>ALV / GMS / LCN</t>
  </si>
  <si>
    <t>NT RF PL RF NT</t>
  </si>
  <si>
    <t>3660 (V1)</t>
  </si>
  <si>
    <t>181</t>
  </si>
  <si>
    <t>GR JV GR</t>
  </si>
  <si>
    <t>3662 (V1)</t>
  </si>
  <si>
    <t>182</t>
  </si>
  <si>
    <t>GR RP GR</t>
  </si>
  <si>
    <t>3663 (V1)</t>
  </si>
  <si>
    <t>HAI / FER / MLO</t>
  </si>
  <si>
    <t>HAI / MES / BRE</t>
  </si>
  <si>
    <t>DAV / SEI / BRE</t>
  </si>
  <si>
    <t>HAI / CNI / PDU</t>
  </si>
  <si>
    <t>3632 (V1)</t>
  </si>
  <si>
    <t>183</t>
  </si>
  <si>
    <t>XAV / ALV</t>
  </si>
  <si>
    <t>NT RF NT RF NT</t>
  </si>
  <si>
    <t>RAY / GMR / RNN</t>
  </si>
  <si>
    <t>3665 (V1)</t>
  </si>
  <si>
    <t>184</t>
  </si>
  <si>
    <t>VTZ / MCH / LCN</t>
  </si>
  <si>
    <t>NT SV *PS* SV NT</t>
  </si>
  <si>
    <t>3655 (V2)</t>
  </si>
  <si>
    <t>185</t>
  </si>
  <si>
    <t>GR SP AE SP GR</t>
  </si>
  <si>
    <t>3682 (V5)</t>
  </si>
  <si>
    <t>186</t>
  </si>
  <si>
    <t>NT RF PL *RF* FZ *SL* FZ NT</t>
  </si>
  <si>
    <t>3651 (V1)</t>
  </si>
  <si>
    <t>CAR / BRJ / MAX</t>
  </si>
  <si>
    <t>NT AR SV NT</t>
  </si>
  <si>
    <t>3684 (V1)</t>
  </si>
  <si>
    <t>188</t>
  </si>
  <si>
    <t>PCN / SUG / YUR</t>
  </si>
  <si>
    <t>NT RF PL *RF* FZ SL FZ NT</t>
  </si>
  <si>
    <t>3666 (V1)</t>
  </si>
  <si>
    <t>187</t>
  </si>
  <si>
    <t>GR NT</t>
  </si>
  <si>
    <t>3675 (V2)</t>
  </si>
  <si>
    <t>189</t>
  </si>
  <si>
    <t>CAR / GMR / MAX</t>
  </si>
  <si>
    <t>NT RF AR PL NT</t>
  </si>
  <si>
    <t>3676 (V1)</t>
  </si>
  <si>
    <t>190</t>
  </si>
  <si>
    <t>AEU / MAT / PRD / MAL / RDS / PON</t>
  </si>
  <si>
    <t>NT SV *YS* SV NT</t>
  </si>
  <si>
    <t>HAI / SEI / GMR / RNN</t>
  </si>
  <si>
    <t>NT AR PS AF</t>
  </si>
  <si>
    <t>3693 (V1)</t>
  </si>
  <si>
    <t>191</t>
  </si>
  <si>
    <t>PCN / BMK / MOR</t>
  </si>
  <si>
    <t>AF PS NT</t>
  </si>
  <si>
    <t>NIL</t>
  </si>
  <si>
    <t>193</t>
  </si>
  <si>
    <t>DAV / DOG / DVS / PDU</t>
  </si>
  <si>
    <t>MHS / MCH / FRI</t>
  </si>
  <si>
    <t>REVALIDAÇÃO CVI</t>
  </si>
  <si>
    <t>DAV / STS / LPS</t>
  </si>
  <si>
    <t>SML</t>
  </si>
  <si>
    <t>MHS / CFF / FRT</t>
  </si>
  <si>
    <t>XQ PO</t>
  </si>
  <si>
    <t>DAV / MCH / HAK / ELI</t>
  </si>
  <si>
    <t>NT *SL* FZ RF NT</t>
  </si>
  <si>
    <t>3781 (V1)</t>
  </si>
  <si>
    <t>194</t>
  </si>
  <si>
    <t>REALIZADO</t>
  </si>
  <si>
    <t>RAY / HCK / RNN</t>
  </si>
  <si>
    <t>MHS / CFF / MDO</t>
  </si>
  <si>
    <t>LPS / RAY / PCN</t>
  </si>
  <si>
    <t>SOU / SLS / FRI</t>
  </si>
  <si>
    <t>DAV / GMS / DVS</t>
  </si>
  <si>
    <t>MHS / FER / TIB</t>
  </si>
  <si>
    <t>3842 (V1)</t>
  </si>
  <si>
    <t>196</t>
  </si>
  <si>
    <t>RAY / GMR / CGM</t>
  </si>
  <si>
    <t>JVT / BMK / RNN</t>
  </si>
  <si>
    <t>NT SV RF NT</t>
  </si>
  <si>
    <t>192</t>
  </si>
  <si>
    <t>MES / MED / MAL / TOM / MRA</t>
  </si>
  <si>
    <t>SOU / MED / MOR / PON / STN</t>
  </si>
  <si>
    <t>HAI / CNI / FRI</t>
  </si>
  <si>
    <t>RAY / BRJ / CGM</t>
  </si>
  <si>
    <t>3848 (V1)</t>
  </si>
  <si>
    <t>195</t>
  </si>
  <si>
    <t>MES / MED / MOR / MAL / PON / STN</t>
  </si>
  <si>
    <t>W2 / W4 / SBSG / VERT</t>
  </si>
  <si>
    <t>EEXD / CFI</t>
  </si>
  <si>
    <t>STS / HCK / CAR</t>
  </si>
  <si>
    <t>HAI / FER / MDO</t>
  </si>
  <si>
    <t>NT RF SV MK BR</t>
  </si>
  <si>
    <t>3859 (V1)</t>
  </si>
  <si>
    <t>198</t>
  </si>
  <si>
    <t>MED / MAT / SEI / LFP / TOM</t>
  </si>
  <si>
    <t>NT RF AR BR *GL* RF NT</t>
  </si>
  <si>
    <t>3835 (V2)</t>
  </si>
  <si>
    <t>197</t>
  </si>
  <si>
    <t>FER / CNI / MCH / LCN</t>
  </si>
  <si>
    <t>NT *SV* PS GL *BI* GL *PS* AR NT</t>
  </si>
  <si>
    <t>3852 (V1)</t>
  </si>
  <si>
    <t>199</t>
  </si>
  <si>
    <t xml:space="preserve">SOU / MED / LFP </t>
  </si>
  <si>
    <t>SOU / MED / SEI / STS / LFP / DRY</t>
  </si>
  <si>
    <t>NT GL NT</t>
  </si>
  <si>
    <t>3871 (V1)</t>
  </si>
  <si>
    <t>200</t>
  </si>
  <si>
    <t>MK PS SV RF NT</t>
  </si>
  <si>
    <t>3868 (V1)</t>
  </si>
  <si>
    <t>CAR / GMR / CGM</t>
  </si>
  <si>
    <t>NT FN RF NT</t>
  </si>
  <si>
    <t>3880 (V1)</t>
  </si>
  <si>
    <t>201</t>
  </si>
  <si>
    <t>MED / STS / RDS / STN</t>
  </si>
  <si>
    <t>NT PL GO *CG* SJ GL SV *RF* NT</t>
  </si>
  <si>
    <t>3889 (V3)</t>
  </si>
  <si>
    <t>202</t>
  </si>
  <si>
    <t>JVT / HCK / BRN</t>
  </si>
  <si>
    <t>NT (MO) RF FN NT</t>
  </si>
  <si>
    <t>205</t>
  </si>
  <si>
    <t>ALV / GMS / FRI</t>
  </si>
  <si>
    <t>NT FZ *RF* SV RF *FZ* NT</t>
  </si>
  <si>
    <t>3885 (V1)</t>
  </si>
  <si>
    <t>203</t>
  </si>
  <si>
    <t>JVT / GMR / BRN</t>
  </si>
  <si>
    <t>NT PB *SL* PB NT</t>
  </si>
  <si>
    <t>3743 (V3)</t>
  </si>
  <si>
    <t>204</t>
  </si>
  <si>
    <t xml:space="preserve"> GMS / DOG / FRI</t>
  </si>
  <si>
    <t>3898 (V1)</t>
  </si>
  <si>
    <t>MAT / PRD / BRS / CGM / FRA / RLI / SIL</t>
  </si>
  <si>
    <t>MPL / MCH / REN</t>
  </si>
  <si>
    <t>NT TC *SJ*</t>
  </si>
  <si>
    <t>3918 (V1)</t>
  </si>
  <si>
    <t>206</t>
  </si>
  <si>
    <t>RAY / GMR / BRS</t>
  </si>
  <si>
    <t>PISTA DE GRAMA (LIVRE)</t>
  </si>
  <si>
    <t>RAY / BRJ / YUR</t>
  </si>
  <si>
    <t>PISTA DE GRAMA (PREC / LV / VTC / LIVRE)</t>
  </si>
  <si>
    <t>SJ GL VT ... GL TC *SV* NT</t>
  </si>
  <si>
    <t>3915 (V1)</t>
  </si>
  <si>
    <t>JVT / HCK / RDS</t>
  </si>
  <si>
    <t>SEI / LPS / MAX</t>
  </si>
  <si>
    <t>NT FN NT</t>
  </si>
  <si>
    <t>207</t>
  </si>
  <si>
    <t>208</t>
  </si>
  <si>
    <t>SJ CT GL *PS* NT</t>
  </si>
  <si>
    <t>3926 (V2)</t>
  </si>
  <si>
    <t>SEI / HCK / YUR</t>
  </si>
  <si>
    <t>E1</t>
  </si>
  <si>
    <t>SEI / BRJ / YUR</t>
  </si>
  <si>
    <t>209</t>
  </si>
  <si>
    <t>ALV / VNA / LCN</t>
  </si>
  <si>
    <t>MPL / ALV / VNA / CNI / MLO / ELI</t>
  </si>
  <si>
    <t>NT FZ TE SL *BE* SL NT</t>
  </si>
  <si>
    <t>210</t>
  </si>
  <si>
    <t>BE SL FZ NT</t>
  </si>
  <si>
    <t>211</t>
  </si>
  <si>
    <t>FAB 2729</t>
  </si>
  <si>
    <t>SLS / DOG / DVS</t>
  </si>
  <si>
    <t>NT RF *FZ* RF NT</t>
  </si>
  <si>
    <t>3992 (V2)</t>
  </si>
  <si>
    <t>001</t>
  </si>
  <si>
    <t>SLS / CFF / REN</t>
  </si>
  <si>
    <t>0037 (V1)</t>
  </si>
  <si>
    <t>002</t>
  </si>
  <si>
    <t>JVT / GMR / CGM</t>
  </si>
  <si>
    <t>HCK / CAR / CGM</t>
  </si>
  <si>
    <t>MES / SEI / MAL / LFP / MRO</t>
  </si>
  <si>
    <t>FAB 2017</t>
  </si>
  <si>
    <t>MAT / STS / MAL / LFP / MRO</t>
  </si>
  <si>
    <t xml:space="preserve">-		</t>
  </si>
  <si>
    <t>HAI / GMS / LCN</t>
  </si>
  <si>
    <t>011</t>
  </si>
  <si>
    <t>RAY / HCK / CAR / CGM / MAL</t>
  </si>
  <si>
    <t>NT |SNUC| NT</t>
  </si>
  <si>
    <t>003</t>
  </si>
  <si>
    <t>MES / AEU / LFP / MRA / PON</t>
  </si>
  <si>
    <t>VERT / SBSG</t>
  </si>
  <si>
    <t>004</t>
  </si>
  <si>
    <t>MAT / STS / MOR / DRY</t>
  </si>
  <si>
    <t>ATM</t>
  </si>
  <si>
    <t>005</t>
  </si>
  <si>
    <t>CNI / DOG / LCN</t>
  </si>
  <si>
    <t>006</t>
  </si>
  <si>
    <t>SLS / GMS / MLO / LCN</t>
  </si>
  <si>
    <t>0123 (V1)</t>
  </si>
  <si>
    <t>007</t>
  </si>
  <si>
    <t>CFF / GMS / MDO</t>
  </si>
  <si>
    <t>NT PL *BR* SV NT</t>
  </si>
  <si>
    <t>0130 (V2)</t>
  </si>
  <si>
    <t>009</t>
  </si>
  <si>
    <t>FER / MCH / FRT</t>
  </si>
  <si>
    <t>008</t>
  </si>
  <si>
    <t>SLS / DOG / REN</t>
  </si>
  <si>
    <t>0162 (V1)</t>
  </si>
  <si>
    <t>010</t>
  </si>
  <si>
    <t>FER / DOG / FRI</t>
  </si>
  <si>
    <t>NT RF SV *SN3Y* VC *PL* RF NT</t>
  </si>
  <si>
    <t>0154 (V1)</t>
  </si>
  <si>
    <t>012</t>
  </si>
  <si>
    <t>HCK/CAR/BRJ/MOR/CGM/RDS/BRN</t>
  </si>
  <si>
    <t>013</t>
  </si>
  <si>
    <t>FAB 2299</t>
  </si>
  <si>
    <t>HAI / MED / REN</t>
  </si>
  <si>
    <t>014</t>
  </si>
  <si>
    <t>HAI / FIA / ELI</t>
  </si>
  <si>
    <t>015</t>
  </si>
  <si>
    <t>MED / CNI / DVS</t>
  </si>
  <si>
    <t>0221 (V1)</t>
  </si>
  <si>
    <t>016</t>
  </si>
  <si>
    <t>RAY / BMK / BRN</t>
  </si>
  <si>
    <t>NT RF NT FN NT</t>
  </si>
  <si>
    <t>0205 (V3)</t>
  </si>
  <si>
    <t>017</t>
  </si>
  <si>
    <t>FER / CNI / FRT</t>
  </si>
  <si>
    <t>NT AR SV SNGI *VC* AR NT</t>
  </si>
  <si>
    <t>0256 (V3)</t>
  </si>
  <si>
    <t>018</t>
  </si>
  <si>
    <t>BRO* / AEU / SEI / LFP / MAL</t>
  </si>
  <si>
    <t>SBCG</t>
  </si>
  <si>
    <t>019</t>
  </si>
  <si>
    <t>HAI / FIA / REN</t>
  </si>
  <si>
    <t>0233 (V2)</t>
  </si>
  <si>
    <t>020</t>
  </si>
  <si>
    <t>AEU / SEI / LFP / MAL / RLI</t>
  </si>
  <si>
    <t>CG *SJ* PL RF NT</t>
  </si>
  <si>
    <t>0251 (V1)</t>
  </si>
  <si>
    <t>021</t>
  </si>
  <si>
    <t>CFF / FER / MDO</t>
  </si>
  <si>
    <t>NT VC SNGI *SV* RF NT</t>
  </si>
  <si>
    <t>0262 (V1)</t>
  </si>
  <si>
    <t>022</t>
  </si>
  <si>
    <t>AEU / SEI / MOR / RDS / STN / TOM</t>
  </si>
  <si>
    <t>NT RF FN *RF* SN3Y PS SV NT</t>
  </si>
  <si>
    <t>0248 (V7)</t>
  </si>
  <si>
    <t>023</t>
  </si>
  <si>
    <t>JVT / GMR / RNN</t>
  </si>
  <si>
    <t>024</t>
  </si>
  <si>
    <t>JVT / BRJ / RNN</t>
  </si>
  <si>
    <t>0272 (V1)</t>
  </si>
  <si>
    <t>025</t>
  </si>
  <si>
    <t>FER / DOG / ELI</t>
  </si>
  <si>
    <t>NT RF *FZ*</t>
  </si>
  <si>
    <t>0286 (V1)</t>
  </si>
  <si>
    <t>026</t>
  </si>
  <si>
    <t>FIA / GMS / FRT / REN</t>
  </si>
  <si>
    <t>027</t>
  </si>
  <si>
    <t>FZ NT</t>
  </si>
  <si>
    <t>0300 (V1)</t>
  </si>
  <si>
    <t>028</t>
  </si>
  <si>
    <t>MCH / CNI / FRT</t>
  </si>
  <si>
    <t>NT FZ</t>
  </si>
  <si>
    <t>FZ RF NT</t>
  </si>
  <si>
    <t>BRI / HAI / TIB</t>
  </si>
  <si>
    <t>029</t>
  </si>
  <si>
    <t>SLS / DOG / FRT</t>
  </si>
  <si>
    <t>AEU / SEI / CGM / SIL</t>
  </si>
  <si>
    <t>NT FN RF PL MO RF NT</t>
  </si>
  <si>
    <t>0302 (V1)</t>
  </si>
  <si>
    <t>030</t>
  </si>
  <si>
    <t>BRI / FIA / REN</t>
  </si>
  <si>
    <t>031</t>
  </si>
  <si>
    <t>RAY / PCN / MAX</t>
  </si>
  <si>
    <t>NT RF FN RF NT</t>
  </si>
  <si>
    <t>0340 (V1)</t>
  </si>
  <si>
    <t>032</t>
  </si>
  <si>
    <t>AEU / SEI / MOR / MRA</t>
  </si>
  <si>
    <t>NT *GL* GR BR NT</t>
  </si>
  <si>
    <t>0343 (V1)</t>
  </si>
  <si>
    <t>033</t>
  </si>
  <si>
    <t>CNI / LOU</t>
  </si>
  <si>
    <t>CPT</t>
  </si>
  <si>
    <t>CNI / PFR</t>
  </si>
  <si>
    <t>FER / BEN</t>
  </si>
  <si>
    <t>FER / RCH</t>
  </si>
  <si>
    <t>FER / SUG</t>
  </si>
  <si>
    <t>FER / LRS</t>
  </si>
  <si>
    <t>AEU / SEI / MAL / PON</t>
  </si>
  <si>
    <t>NT AR BR NT</t>
  </si>
  <si>
    <t>0375 (V1)</t>
  </si>
  <si>
    <t>034</t>
  </si>
  <si>
    <t>MHL / RAY / MAX</t>
  </si>
  <si>
    <t>W2 / VERT (diuno/noturno)</t>
  </si>
  <si>
    <t>035</t>
  </si>
  <si>
    <t>MED / CNI / MLO</t>
  </si>
  <si>
    <t>VERT / SBSG (diuno/noturno)</t>
  </si>
  <si>
    <t>036</t>
  </si>
  <si>
    <t>FIA / CNI / MLO</t>
  </si>
  <si>
    <t>037</t>
  </si>
  <si>
    <t>RAY / ISA / KVN</t>
  </si>
  <si>
    <t>RAY / KVN / ISA</t>
  </si>
  <si>
    <t>RAY / CAR / BRN</t>
  </si>
  <si>
    <t>038</t>
  </si>
  <si>
    <t>PCN / JVT / BRN</t>
  </si>
  <si>
    <t>VERIF</t>
  </si>
  <si>
    <t>039</t>
  </si>
  <si>
    <t>CNI / PFR / ELI</t>
  </si>
  <si>
    <t>01TF01</t>
  </si>
  <si>
    <t>040</t>
  </si>
  <si>
    <t>CNI / BEN / ELI</t>
  </si>
  <si>
    <t>041</t>
  </si>
  <si>
    <t>MHL / KVN / YUR</t>
  </si>
  <si>
    <t>01TT01</t>
  </si>
  <si>
    <t>042</t>
  </si>
  <si>
    <t>AEU / SEI / CGM / MRO</t>
  </si>
  <si>
    <t>0420 (V1)</t>
  </si>
  <si>
    <t>048</t>
  </si>
  <si>
    <t>CAR / BRJ / BRN</t>
  </si>
  <si>
    <t>0394 (V1)</t>
  </si>
  <si>
    <t>043</t>
  </si>
  <si>
    <t>MED / RCH / FRT</t>
  </si>
  <si>
    <t>044</t>
  </si>
  <si>
    <t>FER / LRS / TIB</t>
  </si>
  <si>
    <t>045</t>
  </si>
  <si>
    <t>MHL / ISA / BRS</t>
  </si>
  <si>
    <t>046</t>
  </si>
  <si>
    <t>MES / LPS / LFP / MRO</t>
  </si>
  <si>
    <t>NT SV VT SJ *GL* NT</t>
  </si>
  <si>
    <t>0392 (V1)</t>
  </si>
  <si>
    <t>PCN / GMR / BRE</t>
  </si>
  <si>
    <t>NT MS FZ NT</t>
  </si>
  <si>
    <t>0429 (V1)</t>
  </si>
  <si>
    <t>049</t>
  </si>
  <si>
    <t>FER / SUG / REN</t>
  </si>
  <si>
    <t>050</t>
  </si>
  <si>
    <t>FIA / BEN / FRI</t>
  </si>
  <si>
    <t>W1 / TRF / VERT</t>
  </si>
  <si>
    <t>01TF02</t>
  </si>
  <si>
    <t>051</t>
  </si>
  <si>
    <t>AEU / MAT / LFP</t>
  </si>
  <si>
    <t>047</t>
  </si>
  <si>
    <t>MHL / ISA / MAX</t>
  </si>
  <si>
    <t>VERT / TRF</t>
  </si>
  <si>
    <t>04TT01</t>
  </si>
  <si>
    <t>052</t>
  </si>
  <si>
    <t>MHL / KVN / MAX</t>
  </si>
  <si>
    <t>053</t>
  </si>
  <si>
    <t>NT SV PS *SN3Y* VC NT</t>
  </si>
  <si>
    <t>0414 (V1)</t>
  </si>
  <si>
    <t>054</t>
  </si>
  <si>
    <t>MES / AEU / RDS</t>
  </si>
  <si>
    <t>01TL01</t>
  </si>
  <si>
    <t>055</t>
  </si>
  <si>
    <t>MES / HCK / MOR</t>
  </si>
  <si>
    <t>056</t>
  </si>
  <si>
    <t>MES / HCK / CGM</t>
  </si>
  <si>
    <t>057</t>
  </si>
  <si>
    <t>BRI / MHL / JVT</t>
  </si>
  <si>
    <t>TF01~04</t>
  </si>
  <si>
    <t>FER / LOU / REN</t>
  </si>
  <si>
    <t>058</t>
  </si>
  <si>
    <t>MED / PFR / DVS</t>
  </si>
  <si>
    <t>059</t>
  </si>
  <si>
    <t>MHL / BRI / MOR</t>
  </si>
  <si>
    <t>060</t>
  </si>
  <si>
    <t>MES / AEU / RDS / MRO / DRY</t>
  </si>
  <si>
    <t>TRF / VERT</t>
  </si>
  <si>
    <t>04TL01</t>
  </si>
  <si>
    <t>SMET</t>
  </si>
  <si>
    <t>MES / HCK / RDS</t>
  </si>
  <si>
    <t>04TF01</t>
  </si>
  <si>
    <t>MED / PFR / ELI</t>
  </si>
  <si>
    <t>061</t>
  </si>
  <si>
    <t>MHL / BRI / MAX</t>
  </si>
  <si>
    <t>JVT / HCK / MAX</t>
  </si>
  <si>
    <t>066</t>
  </si>
  <si>
    <t>RAY / ISA / MOR / RDS</t>
  </si>
  <si>
    <t>NT FZ *BE* SL NT</t>
  </si>
  <si>
    <t>0451 (V2)</t>
  </si>
  <si>
    <t>062</t>
  </si>
  <si>
    <t>CAR / BMK / CGM</t>
  </si>
  <si>
    <t>NT PS *SJ* VT SV NT</t>
  </si>
  <si>
    <t>0467 (V2)</t>
  </si>
  <si>
    <t>063</t>
  </si>
  <si>
    <t>MHL / KVN / BRS</t>
  </si>
  <si>
    <t>NT *RF* PL RF FN NT</t>
  </si>
  <si>
    <t>0445 (V2)</t>
  </si>
  <si>
    <t>064</t>
  </si>
  <si>
    <t>MES / LPS / CGM / SIL</t>
  </si>
  <si>
    <t>NT RF KG RF NT</t>
  </si>
  <si>
    <t>0507 (V1)</t>
  </si>
  <si>
    <t>065</t>
  </si>
  <si>
    <t>RAY / BRI / REN</t>
  </si>
  <si>
    <t>01/04TT01</t>
  </si>
  <si>
    <t>067</t>
  </si>
  <si>
    <t>FER / PFR / MLO</t>
  </si>
  <si>
    <t>068</t>
  </si>
  <si>
    <t>FER / BEN / MLO</t>
  </si>
  <si>
    <t>SPES</t>
  </si>
  <si>
    <t>PCN / JVT / BRS</t>
  </si>
  <si>
    <t>NT RF *FN* RF NT</t>
  </si>
  <si>
    <t>0486 (V1)</t>
  </si>
  <si>
    <t>069</t>
  </si>
  <si>
    <t>FIA / LRS / LCN</t>
  </si>
  <si>
    <t xml:space="preserve">W1 / TRF </t>
  </si>
  <si>
    <t>070</t>
  </si>
  <si>
    <t>CNI / RCH / MLO</t>
  </si>
  <si>
    <t xml:space="preserve">TRF / VERT </t>
  </si>
  <si>
    <t>071</t>
  </si>
  <si>
    <t>MES / AEU / MAL</t>
  </si>
  <si>
    <t>072</t>
  </si>
  <si>
    <t>CFF / GMS / TIB</t>
  </si>
  <si>
    <t xml:space="preserve">TRF </t>
  </si>
  <si>
    <t>073</t>
  </si>
  <si>
    <t>BRI / CNI / TIB</t>
  </si>
  <si>
    <t>074</t>
  </si>
  <si>
    <t>MES / HCK / MOR / MRO</t>
  </si>
  <si>
    <t>075</t>
  </si>
  <si>
    <t>076</t>
  </si>
  <si>
    <t>MES / LPS / HCK / LFP / MRO</t>
  </si>
  <si>
    <t xml:space="preserve">NT RF GL *CO* GR YS *BR* CC BR RF NT </t>
  </si>
  <si>
    <t>0532 (V2)</t>
  </si>
  <si>
    <t>077</t>
  </si>
  <si>
    <t>FER / LRS / HAK</t>
  </si>
  <si>
    <t xml:space="preserve">W1 / TRF / VERT </t>
  </si>
  <si>
    <t>078</t>
  </si>
  <si>
    <t>GMS / DOG / MLO</t>
  </si>
  <si>
    <t>079</t>
  </si>
  <si>
    <t>CNI / SUG /  ELI</t>
  </si>
  <si>
    <t>W1 / VERT / TRF</t>
  </si>
  <si>
    <t>AEU / JVT / MAL</t>
  </si>
  <si>
    <t xml:space="preserve">E1 / VERT / TRF </t>
  </si>
  <si>
    <t>080</t>
  </si>
  <si>
    <t>MED / LOU / ELI</t>
  </si>
  <si>
    <t>AEU / MAT / MAL</t>
  </si>
  <si>
    <t>03TT21</t>
  </si>
  <si>
    <t>081</t>
  </si>
  <si>
    <t>AEU / JVT / MOR</t>
  </si>
  <si>
    <t xml:space="preserve">W1 / VERT / TRF </t>
  </si>
  <si>
    <t>082</t>
  </si>
  <si>
    <t>CNI / SUG / DVS</t>
  </si>
  <si>
    <t>083</t>
  </si>
  <si>
    <t>HAI / MED / LCN</t>
  </si>
  <si>
    <t>03TT01</t>
  </si>
  <si>
    <t>084</t>
  </si>
  <si>
    <t>FIA / LOU / ELI</t>
  </si>
  <si>
    <t>CNI / FER / TIB</t>
  </si>
  <si>
    <t>085</t>
  </si>
  <si>
    <t>MED / SLS / ELI</t>
  </si>
  <si>
    <t>MHL / ISA / KVN / MOR / MAX</t>
  </si>
  <si>
    <t>NT RF</t>
  </si>
  <si>
    <t>FIEX</t>
  </si>
  <si>
    <t>086</t>
  </si>
  <si>
    <t>MAT / LPS / MAL / BRS / DRY</t>
  </si>
  <si>
    <t>NT SV LS VT *GL* NT</t>
  </si>
  <si>
    <t>0574 (V2)</t>
  </si>
  <si>
    <t>087</t>
  </si>
  <si>
    <t>RF NT</t>
  </si>
  <si>
    <t>FIA / SLS / ELI</t>
  </si>
  <si>
    <t>MES / JVT / CGM</t>
  </si>
  <si>
    <t>089</t>
  </si>
  <si>
    <t>CNI / PFR / LCN</t>
  </si>
  <si>
    <t>NT RF *PL* RF NT</t>
  </si>
  <si>
    <t>0592 (V1)</t>
  </si>
  <si>
    <t>088</t>
  </si>
  <si>
    <t>PCN / KVN / MAX</t>
  </si>
  <si>
    <t>0627 (V2)</t>
  </si>
  <si>
    <t>090</t>
  </si>
  <si>
    <t>MES / MHL / RNN</t>
  </si>
  <si>
    <t>091</t>
  </si>
  <si>
    <t>MCH / DOG / FRT</t>
  </si>
  <si>
    <t>092</t>
  </si>
  <si>
    <t>SLS / CFF / HAK</t>
  </si>
  <si>
    <t>0628 (V1)</t>
  </si>
  <si>
    <t>094</t>
  </si>
  <si>
    <t>SLS / FER / MLO</t>
  </si>
  <si>
    <t>MES / RAY / BRJ / RNN</t>
  </si>
  <si>
    <t>NT AR PS VT *SC* VT PS AR NT</t>
  </si>
  <si>
    <t>0624 (V3)</t>
  </si>
  <si>
    <t>093</t>
  </si>
  <si>
    <t>LPS / CAR / HCK / JVT</t>
  </si>
  <si>
    <t>095</t>
  </si>
  <si>
    <t>FER / LRS / FRT</t>
  </si>
  <si>
    <t>096</t>
  </si>
  <si>
    <t>FER / BEN / FRT</t>
  </si>
  <si>
    <t>097</t>
  </si>
  <si>
    <t>BRI / RAY / HCK / YUR</t>
  </si>
  <si>
    <t>NT FZ TE SL *BE* TE NT</t>
  </si>
  <si>
    <t>098</t>
  </si>
  <si>
    <t>MES / MAT / SEI / LPS / RDS / FRA</t>
  </si>
  <si>
    <t>NT AR TC VT GR *GL* SV NT</t>
  </si>
  <si>
    <t>0635 (V2)</t>
  </si>
  <si>
    <t>099</t>
  </si>
  <si>
    <t>JVT / ISA / RNN</t>
  </si>
  <si>
    <t>0646 (V1)</t>
  </si>
  <si>
    <t>100</t>
  </si>
  <si>
    <t>MES / SEI / RDS / FRA</t>
  </si>
  <si>
    <t>GL *BR* SJ GL</t>
  </si>
  <si>
    <t>0679 (V1)</t>
  </si>
  <si>
    <t>CNI / LOU / LCN</t>
  </si>
  <si>
    <t>HCK / KVN / YUR</t>
  </si>
  <si>
    <t>NT RF PL *SN3Y* VC NT</t>
  </si>
  <si>
    <t>0675 (V1)</t>
  </si>
  <si>
    <t>101</t>
  </si>
  <si>
    <t>FER / LRS / BEN / TIB</t>
  </si>
  <si>
    <t>NT RF TE *SL* *BE* *SL* CW *SL* BE *SL* RF NT</t>
  </si>
  <si>
    <t>0676 (V2)</t>
  </si>
  <si>
    <t>102</t>
  </si>
  <si>
    <t>FIA / LOU / FRT</t>
  </si>
  <si>
    <t>103</t>
  </si>
  <si>
    <t>MED / SLS / MLO</t>
  </si>
  <si>
    <t xml:space="preserve">MED / SUG / MLO </t>
  </si>
  <si>
    <t>NT AR RF NT</t>
  </si>
  <si>
    <t>0699 (V2)</t>
  </si>
  <si>
    <t>104</t>
  </si>
  <si>
    <t>PCN / GMR / MAX</t>
  </si>
  <si>
    <t>NT SV *SN3Y* PL RF NT</t>
  </si>
  <si>
    <t>0700 (V1)</t>
  </si>
  <si>
    <t>105</t>
  </si>
  <si>
    <t>MES / JVT / CGM / TOM</t>
  </si>
  <si>
    <t>NT BR SSGR BR NT</t>
  </si>
  <si>
    <t>0724 (V1)</t>
  </si>
  <si>
    <t>106</t>
  </si>
  <si>
    <t>MAT / SEI / MOR / TOM</t>
  </si>
  <si>
    <t>NT RF BR *GL* RF NT</t>
  </si>
  <si>
    <t>0709 (V5)</t>
  </si>
  <si>
    <t>107</t>
  </si>
  <si>
    <t>MHL / BMK / YUR</t>
  </si>
  <si>
    <t>NT TE *BE* TE NT</t>
  </si>
  <si>
    <t>0740 (V1)</t>
  </si>
  <si>
    <t>108</t>
  </si>
  <si>
    <t>JVT / KVN / MAX</t>
  </si>
  <si>
    <t>0731 (V1)</t>
  </si>
  <si>
    <t>110</t>
  </si>
  <si>
    <t>MES / SEI / MAL</t>
  </si>
  <si>
    <t>01TF21</t>
  </si>
  <si>
    <t>HAI / MCH / REN</t>
  </si>
  <si>
    <t>111</t>
  </si>
  <si>
    <t>BRI / MHL / BRN</t>
  </si>
  <si>
    <t>112</t>
  </si>
  <si>
    <t>113</t>
  </si>
  <si>
    <t>AEU / RAY / CNI</t>
  </si>
  <si>
    <t>MED / SUG / FRI</t>
  </si>
  <si>
    <t>114</t>
  </si>
  <si>
    <t>MAT / LPS / BRS / MRA / SIL</t>
  </si>
  <si>
    <t>0734 (V2)</t>
  </si>
  <si>
    <t>109</t>
  </si>
  <si>
    <t>W1 / W3 / VERT / TRF</t>
  </si>
  <si>
    <t>115</t>
  </si>
  <si>
    <t xml:space="preserve">HAI / SLS / TIB </t>
  </si>
  <si>
    <t xml:space="preserve">VERT / TRF </t>
  </si>
  <si>
    <t>AEU / SEI / MAL</t>
  </si>
  <si>
    <t>116</t>
  </si>
  <si>
    <t xml:space="preserve">CNI / LOU / TIB </t>
  </si>
  <si>
    <t>117</t>
  </si>
  <si>
    <t>AEU / MAT / RDS</t>
  </si>
  <si>
    <t>118</t>
  </si>
  <si>
    <t>CAR / GMR /  BRN</t>
  </si>
  <si>
    <t>NT PL RF NT</t>
  </si>
  <si>
    <t>0760 (V2)</t>
  </si>
  <si>
    <t>119</t>
  </si>
  <si>
    <t>MES / JVT / HCK / BRS / RLI</t>
  </si>
  <si>
    <t>NT RF *GL* GR CT CO SM *GL* ES SV RF NT</t>
  </si>
  <si>
    <t>0779 (V1)</t>
  </si>
  <si>
    <t>120</t>
  </si>
  <si>
    <t>FER / RAY / ELI</t>
  </si>
  <si>
    <t>121</t>
  </si>
  <si>
    <t>FER / SLS / ELI</t>
  </si>
  <si>
    <t>BRI / FER / MCH / GMS / HAK</t>
  </si>
  <si>
    <t>NT RF NT *FZ* NT</t>
  </si>
  <si>
    <t>0815 (V1)</t>
  </si>
  <si>
    <t>122</t>
  </si>
  <si>
    <t>BRI / SLS / MLO</t>
  </si>
  <si>
    <t>17TL02</t>
  </si>
  <si>
    <t>MCH / DOG / ELI</t>
  </si>
  <si>
    <t>0825 (V1)</t>
  </si>
  <si>
    <t>MES / HCK / RDS / PON</t>
  </si>
  <si>
    <t>NT BR *GR* PS NT</t>
  </si>
  <si>
    <t>0837 (V3)</t>
  </si>
  <si>
    <t>125</t>
  </si>
  <si>
    <t>PCN / BMK / RNN</t>
  </si>
  <si>
    <t>0875 (V1)</t>
  </si>
  <si>
    <t>123</t>
  </si>
  <si>
    <t xml:space="preserve">MED / AEU / DVS </t>
  </si>
  <si>
    <t>124</t>
  </si>
  <si>
    <t>126</t>
  </si>
  <si>
    <t>BRI / SLS / RNT</t>
  </si>
  <si>
    <t>127</t>
  </si>
  <si>
    <t>CAR / ISA / BRN</t>
  </si>
  <si>
    <t>NT FN RF SV *PS* NT</t>
  </si>
  <si>
    <t>0856 (V2)</t>
  </si>
  <si>
    <t>128</t>
  </si>
  <si>
    <t>MED / RAY / FRT</t>
  </si>
  <si>
    <t>129</t>
  </si>
  <si>
    <t>FER / AEU / DVS</t>
  </si>
  <si>
    <t>FIA / RCH / ELI</t>
  </si>
  <si>
    <t>MES / MAT / MAL</t>
  </si>
  <si>
    <t>BRJ / BMK / YUR</t>
  </si>
  <si>
    <t>NT PS SV RF NT</t>
  </si>
  <si>
    <t>0912 (V1)</t>
  </si>
  <si>
    <t>MED / SUG / HAK</t>
  </si>
  <si>
    <t>NT RF JU TE *IZ* FZ NT</t>
  </si>
  <si>
    <t>0927 (V1)</t>
  </si>
  <si>
    <t>BRI / GMR / BRS / RDS</t>
  </si>
  <si>
    <t>NT AR PS VT *AF* VT PS AR NT</t>
  </si>
  <si>
    <t>CFF / DOG / HAK</t>
  </si>
  <si>
    <t>FER / CNI / MLO</t>
  </si>
  <si>
    <t>MED / MCH / FRT / BRD</t>
  </si>
  <si>
    <t>0946 (V2)</t>
  </si>
  <si>
    <t>MCH / DOG / RNT</t>
  </si>
  <si>
    <t>NT TE *IZ* TE JU *RF* NT</t>
  </si>
  <si>
    <t>0977 (V1)</t>
  </si>
  <si>
    <t>FIA / AEU / FRT</t>
  </si>
  <si>
    <t>SLS / FER / REN</t>
  </si>
  <si>
    <t>SEI / LPS / CGM / MRA</t>
  </si>
  <si>
    <t>NT FZ SV *GL* SV FZ NT</t>
  </si>
  <si>
    <t>1028 (V3)</t>
  </si>
  <si>
    <t>MAT / JVT / LFP / MOR / DRY</t>
  </si>
  <si>
    <t>BRJ / ISA / YUR</t>
  </si>
  <si>
    <t>NT SV *RF* FN NT</t>
  </si>
  <si>
    <t>1066 (V1)</t>
  </si>
  <si>
    <t>HAI / AEU / ELI</t>
  </si>
  <si>
    <t>CNI / RAY / ELI</t>
  </si>
  <si>
    <t>NT SV NT</t>
  </si>
  <si>
    <t>1092 (V1)</t>
  </si>
  <si>
    <t>PCN / GMR / RNN</t>
  </si>
  <si>
    <t>1091 (V1)</t>
  </si>
  <si>
    <t>SLS / GMS / ELI</t>
  </si>
  <si>
    <t>FER / MCH / DVS</t>
  </si>
  <si>
    <t>1117 (V1)</t>
  </si>
  <si>
    <t>HAI / LRS / BRD</t>
  </si>
  <si>
    <t>1103 (V3)</t>
  </si>
  <si>
    <t>CAR / KVN / MAX</t>
  </si>
  <si>
    <t>1104 (V3)</t>
  </si>
  <si>
    <t>151</t>
  </si>
  <si>
    <t>MED / BEN / FRT</t>
  </si>
  <si>
    <t>NT MO SV *PS* VT *SJ* SC PS NT</t>
  </si>
  <si>
    <t>1115 (V2)</t>
  </si>
  <si>
    <t>RAY / BMK / RNN</t>
  </si>
  <si>
    <t>1138 (V2)</t>
  </si>
  <si>
    <t>BRJ / ISA / MAX</t>
  </si>
  <si>
    <t>NT SV *AN* PL NT</t>
  </si>
  <si>
    <t>1126 (V2)</t>
  </si>
  <si>
    <t>NT RF MO SV *PS* NT</t>
  </si>
  <si>
    <t>1133 (V1)</t>
  </si>
  <si>
    <t>BRI / RAY / LCN</t>
  </si>
  <si>
    <t>NT RF MO AR NT</t>
  </si>
  <si>
    <t>1150 (V3)</t>
  </si>
  <si>
    <t>CAR / KVN / BRN</t>
  </si>
  <si>
    <t>NT RF SV ... SV RF NT FZ NT</t>
  </si>
  <si>
    <t>1154 (V4)</t>
  </si>
  <si>
    <t>SV *PS* SV AR *RF* AR MO RF *SV*</t>
  </si>
  <si>
    <t>1155 (V4)</t>
  </si>
  <si>
    <t>SEI / RAY / GMR</t>
  </si>
  <si>
    <t>HCK / BMK / BRS</t>
  </si>
  <si>
    <t>1186 (V1)</t>
  </si>
  <si>
    <t>MHL / GMR / RNN</t>
  </si>
  <si>
    <t>NT RF PS *RF* *FZ* RF NT</t>
  </si>
  <si>
    <t>1210 (V2)</t>
  </si>
  <si>
    <t>MAT / SEI / LFP</t>
  </si>
  <si>
    <t>CNI / MCH / DVS / BRD</t>
  </si>
  <si>
    <t>AEU / SLS / DVS</t>
  </si>
  <si>
    <t>NT AR *PS* RF NT</t>
  </si>
  <si>
    <t>1252 (V1)</t>
  </si>
  <si>
    <t>MAT / JVT / SEI / LFP / STN / PON</t>
  </si>
  <si>
    <t>CG BR **FL** GR GL SV NT</t>
  </si>
  <si>
    <t>1269 (V1)</t>
  </si>
  <si>
    <t>FIA / DOG / FRT</t>
  </si>
  <si>
    <t>SEI / LPS / BRS / FRA / SIL</t>
  </si>
  <si>
    <t>NT *GW* VT PS AR RF NT</t>
  </si>
  <si>
    <t>1293 (V1)</t>
  </si>
  <si>
    <t>HAI / PFR / RCH / BRD</t>
  </si>
  <si>
    <t>NT RF SV VC *SN3Y* VC RF NT</t>
  </si>
  <si>
    <t>1297 (V1)</t>
  </si>
  <si>
    <t>PCN / BMK / BRN</t>
  </si>
  <si>
    <t>1302 (V1)</t>
  </si>
  <si>
    <t>BRI / LRS / HAK</t>
  </si>
  <si>
    <t>MAT / HCK / CGM / RLI</t>
  </si>
  <si>
    <t>NT JU NT JU NT</t>
  </si>
  <si>
    <t>1328 (V3)</t>
  </si>
  <si>
    <t>MED / RCH / TIB</t>
  </si>
  <si>
    <t>NT JU FZ NT</t>
  </si>
  <si>
    <t>1344 (V1)</t>
  </si>
  <si>
    <t>MCH / DOG / HAK / FRI</t>
  </si>
  <si>
    <t>SLS / PFR / HAK</t>
  </si>
  <si>
    <t>NT FZ RF *SV* SN3Y VC RF NT</t>
  </si>
  <si>
    <t>1337 (V1)</t>
  </si>
  <si>
    <t xml:space="preserve">PCN / ISA / </t>
  </si>
  <si>
    <t>NT *FZ* RF SV RF</t>
  </si>
  <si>
    <t>1373 (V1)</t>
  </si>
  <si>
    <t>MCH / GMS / MLO</t>
  </si>
  <si>
    <t>1373 (V5)</t>
  </si>
  <si>
    <t>MED / LRS / RNT</t>
  </si>
  <si>
    <t>NT RF SV RF NT</t>
  </si>
  <si>
    <t>CNI / RCH / FRT</t>
  </si>
  <si>
    <t>NT RF PL *RF*</t>
  </si>
  <si>
    <t>1403 (V1)</t>
  </si>
  <si>
    <t>RF SV *PS* RF FZ NT</t>
  </si>
  <si>
    <t>1429 (V2)</t>
  </si>
  <si>
    <t>1426 (V1)</t>
  </si>
  <si>
    <t>FIA / MAT / BRS</t>
  </si>
  <si>
    <t>BRI / BMK / RNN</t>
  </si>
  <si>
    <t>17TL01</t>
  </si>
  <si>
    <t>MCH / GMS / HAK</t>
  </si>
  <si>
    <t>1475 (V1)</t>
  </si>
  <si>
    <t>SLS / LRS / MLO</t>
  </si>
  <si>
    <t>1451 (V3)</t>
  </si>
  <si>
    <t xml:space="preserve">E1 / VERT  </t>
  </si>
  <si>
    <t>SEI / LPS / MOR / STN</t>
  </si>
  <si>
    <t>NT SV SP SNDV *SP* NT</t>
  </si>
  <si>
    <t>1509 (V1)</t>
  </si>
  <si>
    <t>MES / BMK / MAX</t>
  </si>
  <si>
    <t>MES/AEU/MAT/JVT/HCK/BRS/MRO/PON</t>
  </si>
  <si>
    <t>NT AR VC MK **AN** MK VC AR NT</t>
  </si>
  <si>
    <t>RAT</t>
  </si>
  <si>
    <t>NT RF SV *SN3Y* MK *BR* MK SV RF NT</t>
  </si>
  <si>
    <t>1489 (V3)</t>
  </si>
  <si>
    <t>PCN / ISA / MOR / YUR</t>
  </si>
  <si>
    <t>NT SL *BE* SL FZ NT</t>
  </si>
  <si>
    <t>1492 (V1)</t>
  </si>
  <si>
    <t>SLS / MCH / HAK</t>
  </si>
  <si>
    <t>C.B.</t>
  </si>
  <si>
    <t>SLS / GMS / HAK</t>
  </si>
  <si>
    <t>HAI / DOG / HAK</t>
  </si>
  <si>
    <t>FIA / CFF / HAK</t>
  </si>
  <si>
    <t>GMR / BMK / YUR</t>
  </si>
  <si>
    <t>NT RF SV *BQ* SV NT</t>
  </si>
  <si>
    <t>1543 (V2)</t>
  </si>
  <si>
    <t>HAI / SUG / HAK</t>
  </si>
  <si>
    <t>NT SV *SN3Y* VC RF NT</t>
  </si>
  <si>
    <t>1521 (V1)</t>
  </si>
  <si>
    <t>AEU/ MHL/ MOR/ RDS/ STN/ RLI/ TOM</t>
  </si>
  <si>
    <t>W1 / W3 / TRF</t>
  </si>
  <si>
    <t>MES / MAT / BRS</t>
  </si>
  <si>
    <t>MES / MHL / BRS</t>
  </si>
  <si>
    <t>MHL / JVT / MAX</t>
  </si>
  <si>
    <t>1556 (V2)</t>
  </si>
  <si>
    <t xml:space="preserve">BRJ / ISA / MAX </t>
  </si>
  <si>
    <t>NT FZ SL *BE* SL NT</t>
  </si>
  <si>
    <t>1588 (V2)</t>
  </si>
  <si>
    <t>HCK / KVN / RNN / YUR</t>
  </si>
  <si>
    <t>EXTEC</t>
  </si>
  <si>
    <t>BMK / ISA / MAX</t>
  </si>
  <si>
    <t>NT FZ SL *BE* FZ NT</t>
  </si>
  <si>
    <t>1593 (V3)</t>
  </si>
  <si>
    <t>MAT / JVT / HCK / MOR / TOM</t>
  </si>
  <si>
    <t>NT SV MK *BR* CG SM CO *GL* NT</t>
  </si>
  <si>
    <t>1615 (V5)</t>
  </si>
  <si>
    <t>GMR / KVN / MAX</t>
  </si>
  <si>
    <t>1655 (V1)</t>
  </si>
  <si>
    <t>SLS / AEU / ELI</t>
  </si>
  <si>
    <t>1621 (V1)</t>
  </si>
  <si>
    <t>MAT / JVT / MOR / TOM</t>
  </si>
  <si>
    <t>NT GL *SJ* VT SV NT</t>
  </si>
  <si>
    <t>1638 (V2)</t>
  </si>
  <si>
    <t>MAT / MHL / RDS</t>
  </si>
  <si>
    <t>MCH / DOG / FRI</t>
  </si>
  <si>
    <t>AEU / MHL / RDS / FRA</t>
  </si>
  <si>
    <t>MHL / RAY / BRN</t>
  </si>
  <si>
    <t>MHL / CAR / BRN</t>
  </si>
  <si>
    <t>AEU / MES / BRS</t>
  </si>
  <si>
    <t>SLS / CFF / TIB</t>
  </si>
  <si>
    <t>CNI / FER / LCN</t>
  </si>
  <si>
    <t>MAT / MHL / MOR / TOM</t>
  </si>
  <si>
    <t>NT FZ *GL* NT</t>
  </si>
  <si>
    <t>1715 (V1)</t>
  </si>
  <si>
    <t>MED / CFF / MLO</t>
  </si>
  <si>
    <t>FER / MCH / MLO</t>
  </si>
  <si>
    <t>FER / DOG / MLO</t>
  </si>
  <si>
    <t>BRI / RAY / BRN</t>
  </si>
  <si>
    <t>NT XX NT</t>
  </si>
  <si>
    <t xml:space="preserve">MAT / MHL / MOR / MRA </t>
  </si>
  <si>
    <t>NT PL BR *SJ* GL NT</t>
  </si>
  <si>
    <t>1748 (V4)</t>
  </si>
  <si>
    <t>CNI / PFR / MLO</t>
  </si>
  <si>
    <t>1756 (V1)</t>
  </si>
  <si>
    <t>SLS / SUG / TIB</t>
  </si>
  <si>
    <t xml:space="preserve">NT SV VC *SN3Y* SV NT </t>
  </si>
  <si>
    <t>1773 (V1)</t>
  </si>
  <si>
    <t>RAY / BMK / YUR</t>
  </si>
  <si>
    <t>PCN / KVN / BRJ / BRS</t>
  </si>
  <si>
    <t>NT RF FN RF *MO* NT</t>
  </si>
  <si>
    <t>1757 (V2)</t>
  </si>
  <si>
    <t>MES / FIA / RDS</t>
  </si>
  <si>
    <t>RAY / CNI / FRT</t>
  </si>
  <si>
    <t>1818 (V1)</t>
  </si>
  <si>
    <t>212</t>
  </si>
  <si>
    <t>FIA / FER / MLO</t>
  </si>
  <si>
    <t>03TF01</t>
  </si>
  <si>
    <t>AEU / SLS / LCN</t>
  </si>
  <si>
    <t>NT RF AR RF NT</t>
  </si>
  <si>
    <t>1842 (V1)</t>
  </si>
  <si>
    <t>214</t>
  </si>
  <si>
    <t>FIA / SLS / LCN</t>
  </si>
  <si>
    <t>MED / RAY / RNT</t>
  </si>
  <si>
    <t>NT RF *SV* MO RF NT</t>
  </si>
  <si>
    <t>1813 (V2)</t>
  </si>
  <si>
    <t>213</t>
  </si>
  <si>
    <t>MES / FIA / MOR</t>
  </si>
  <si>
    <t>MAT / FIA / BRS</t>
  </si>
  <si>
    <t>W1 / W3 / TRF / VERT</t>
  </si>
  <si>
    <t>216</t>
  </si>
  <si>
    <t>AEU / FIA / RDS</t>
  </si>
  <si>
    <t>217</t>
  </si>
  <si>
    <t>FER / RCH / MLO</t>
  </si>
  <si>
    <t>1839 (V1)</t>
  </si>
  <si>
    <t>215</t>
  </si>
  <si>
    <t>MHL / RAY / BRJ</t>
  </si>
  <si>
    <t>AEU / FIA / BRS</t>
  </si>
  <si>
    <t>FIA / CNI / RNT</t>
  </si>
  <si>
    <t>CNI / SUG / RNT</t>
  </si>
  <si>
    <t>NT RF PS *SNLN* PS RF NT</t>
  </si>
  <si>
    <t>1891 (V2)</t>
  </si>
  <si>
    <t>218</t>
  </si>
  <si>
    <t>MAT / FIA / LPS / MAL / MOR / STN</t>
  </si>
  <si>
    <t>NT PL SN3Y PS SV RF NT</t>
  </si>
  <si>
    <t>1880 (V1)</t>
  </si>
  <si>
    <t>219</t>
  </si>
  <si>
    <t>FER / LRS / RCH / ELI</t>
  </si>
  <si>
    <t>1897 (V1)</t>
  </si>
  <si>
    <t>220</t>
  </si>
  <si>
    <t>FIA / LPS / RDS / SIL</t>
  </si>
  <si>
    <t>NT SV *GL* SJ CF TC AR NT</t>
  </si>
  <si>
    <t>1883 (V2)</t>
  </si>
  <si>
    <t>221</t>
  </si>
  <si>
    <t>CFF / MCH / HAK</t>
  </si>
  <si>
    <t>NT RF SD27 PL SD27 RF NT</t>
  </si>
  <si>
    <t>1922 (V1)</t>
  </si>
  <si>
    <t>223</t>
  </si>
  <si>
    <t xml:space="preserve">GMS / DOG / ELI </t>
  </si>
  <si>
    <t>NT RF SNHS RF NT</t>
  </si>
  <si>
    <t>1924 (V1)</t>
  </si>
  <si>
    <t>224</t>
  </si>
  <si>
    <t>MCH / CFF / MLO</t>
  </si>
  <si>
    <t>NT RF JU TE *SL* NT</t>
  </si>
  <si>
    <t>1888 (V1)</t>
  </si>
  <si>
    <t>222</t>
  </si>
  <si>
    <t>CNI / PFR / HAK</t>
  </si>
  <si>
    <t>1935 (V1)</t>
  </si>
  <si>
    <t>225</t>
  </si>
  <si>
    <t>FIA / LPS / MAL / MAX / MRA / DRY</t>
  </si>
  <si>
    <t>NT RF SV *PL* SV RF NT</t>
  </si>
  <si>
    <t>1937 (V3)</t>
  </si>
  <si>
    <t>226</t>
  </si>
  <si>
    <t xml:space="preserve">FER / RAY </t>
  </si>
  <si>
    <t>NT FZ JU FZ NT</t>
  </si>
  <si>
    <t>1949 (V1)</t>
  </si>
  <si>
    <t>GMS / DOG / ELI</t>
  </si>
  <si>
    <t>NT VC *GR* GL VT *PS* MO NT</t>
  </si>
  <si>
    <t>1959 (V4)</t>
  </si>
  <si>
    <t>228</t>
  </si>
  <si>
    <t>SLS / AEU / RNT</t>
  </si>
  <si>
    <t>RAY / BMK / GMR</t>
  </si>
  <si>
    <t>CAR / KVN / MOR / RNN</t>
  </si>
  <si>
    <t>227</t>
  </si>
  <si>
    <t>RAY / CAR / ISA</t>
  </si>
  <si>
    <t>CFF / MCH / MLO</t>
  </si>
  <si>
    <t>BMK / KVN / CGM / BRN</t>
  </si>
  <si>
    <t>229</t>
  </si>
  <si>
    <t>FAB 2330</t>
  </si>
  <si>
    <t>BRI / ISA / BRS / MAX</t>
  </si>
  <si>
    <t>230</t>
  </si>
  <si>
    <t>MCH / GMS / DVS</t>
  </si>
  <si>
    <t>2052 (V1)</t>
  </si>
  <si>
    <t>231</t>
  </si>
  <si>
    <t>MHL / HCK / BRJ</t>
  </si>
  <si>
    <t>BRI / GMR / RNN / YUR</t>
  </si>
  <si>
    <t>232</t>
  </si>
  <si>
    <t>MES / SEI / MOR / BRS / PON / RLI</t>
  </si>
  <si>
    <t>01TT32</t>
  </si>
  <si>
    <t>233</t>
  </si>
  <si>
    <t>FIA / LPS / MOR / TOM</t>
  </si>
  <si>
    <t>234</t>
  </si>
  <si>
    <t>RAY / SLS / BEN / FRI</t>
  </si>
  <si>
    <t>2120 (V1)</t>
  </si>
  <si>
    <t>235</t>
  </si>
  <si>
    <t>MHL / PCN / KVN</t>
  </si>
  <si>
    <t>MES / MHL / RAY</t>
  </si>
  <si>
    <t>BRI / HCK / CGM / RDS</t>
  </si>
  <si>
    <t>236</t>
  </si>
  <si>
    <t>FIA / SLS / FRI</t>
  </si>
  <si>
    <t>237</t>
  </si>
  <si>
    <t>FIA / DOG / FRI</t>
  </si>
  <si>
    <t>238</t>
  </si>
  <si>
    <t>FIA / LRS / FRI</t>
  </si>
  <si>
    <t>239</t>
  </si>
  <si>
    <t>MES / AEU / MOR / RDS</t>
  </si>
  <si>
    <t>240</t>
  </si>
  <si>
    <t>FIA / MED / RNT</t>
  </si>
  <si>
    <t>241</t>
  </si>
  <si>
    <t xml:space="preserve">BRI / PCN / YUR </t>
  </si>
  <si>
    <t>242</t>
  </si>
  <si>
    <t>FIA / LPS / MAL / LFP / MRO / DRY</t>
  </si>
  <si>
    <t>NT BR *YS* BR NT</t>
  </si>
  <si>
    <t>2158 (V5)</t>
  </si>
  <si>
    <t>243</t>
  </si>
  <si>
    <t>MED / RCH / RNT</t>
  </si>
  <si>
    <t>244</t>
  </si>
  <si>
    <t xml:space="preserve">MED / PFR / RNT </t>
  </si>
  <si>
    <t>245</t>
  </si>
  <si>
    <t>AEU / LPS / RDS</t>
  </si>
  <si>
    <t>246</t>
  </si>
  <si>
    <t>247</t>
  </si>
  <si>
    <t>BRI / CAR / MAX</t>
  </si>
  <si>
    <t>248</t>
  </si>
  <si>
    <t>FAB 2319</t>
  </si>
  <si>
    <t>249</t>
  </si>
  <si>
    <t>250</t>
  </si>
  <si>
    <t>FAB 2345</t>
  </si>
  <si>
    <t>251</t>
  </si>
  <si>
    <t>MED / LRS / LCN</t>
  </si>
  <si>
    <t>MCH / LRS / RCH / ELI</t>
  </si>
  <si>
    <t>NT RF SNTS RF NT</t>
  </si>
  <si>
    <t>2224 (V1)</t>
  </si>
  <si>
    <t>252</t>
  </si>
  <si>
    <t>GMS / RCH / RNT</t>
  </si>
  <si>
    <t xml:space="preserve">FIA / CFF / RNT  </t>
  </si>
  <si>
    <t>BRI / BRJ / MOR</t>
  </si>
  <si>
    <t>NT RF *...* RF NT</t>
  </si>
  <si>
    <t>2243 (V2)</t>
  </si>
  <si>
    <t>253</t>
  </si>
  <si>
    <t>GMS / LRS / RNT</t>
  </si>
  <si>
    <t>254</t>
  </si>
  <si>
    <t xml:space="preserve">DOG / PFR / FRI </t>
  </si>
  <si>
    <t>255</t>
  </si>
  <si>
    <t>FIA / CFF / FRI</t>
  </si>
  <si>
    <t>256</t>
  </si>
  <si>
    <t>MES / SEI / RDS / SIL / STN</t>
  </si>
  <si>
    <t>257</t>
  </si>
  <si>
    <t>MES / RAY</t>
  </si>
  <si>
    <t>MED / SUG / LCN</t>
  </si>
  <si>
    <t>258</t>
  </si>
  <si>
    <t>FIA / SEI / LPS / MOR / MRA / SIL</t>
  </si>
  <si>
    <t>2285 (V2)</t>
  </si>
  <si>
    <t>260</t>
  </si>
  <si>
    <t>DOG / SUG / ELI</t>
  </si>
  <si>
    <t>2268 (V2)</t>
  </si>
  <si>
    <t>259</t>
  </si>
  <si>
    <t>CFF / SUG / RNT</t>
  </si>
  <si>
    <t xml:space="preserve">NT NT </t>
  </si>
  <si>
    <t>2295 (V1)</t>
  </si>
  <si>
    <t>261</t>
  </si>
  <si>
    <t>FIA / AEU / RDS / MRA</t>
  </si>
  <si>
    <t>NT VC NT</t>
  </si>
  <si>
    <t>2309 (V1)</t>
  </si>
  <si>
    <t>262</t>
  </si>
  <si>
    <t xml:space="preserve">AEU / LPS / MOR  </t>
  </si>
  <si>
    <t>263</t>
  </si>
  <si>
    <t>HCK / CAR / MAX</t>
  </si>
  <si>
    <t>264</t>
  </si>
  <si>
    <t>CFF / MCH / DVS / ELI</t>
  </si>
  <si>
    <t>265</t>
  </si>
  <si>
    <t>MCH / GMS / LCN</t>
  </si>
  <si>
    <t>268</t>
  </si>
  <si>
    <t>FAB 2708</t>
  </si>
  <si>
    <t>CFF / DOG / SUG / PFR / FRT</t>
  </si>
  <si>
    <t>NT TE *BE* VS BE MA *SN* MA *SN* MA *VS* BE TE NT</t>
  </si>
  <si>
    <t>2352 (V3)</t>
  </si>
  <si>
    <t>266</t>
  </si>
  <si>
    <t>AEU/LPS/MAL/MOR/BRS/CGM/DRY</t>
  </si>
  <si>
    <t>NT RF BR CG</t>
  </si>
  <si>
    <t>267</t>
  </si>
  <si>
    <t xml:space="preserve">CFF / DOG / LRS / RCH / DVS / LCN </t>
  </si>
  <si>
    <t>NT FZ SL SNCW SL *...* SL FZ NT</t>
  </si>
  <si>
    <t>2374 (V1)</t>
  </si>
  <si>
    <t>269</t>
  </si>
  <si>
    <t>BRI / CAR / BRJ / KVN / RDS / HON / BER</t>
  </si>
  <si>
    <t>LANÇAMENTO PQD VERT</t>
  </si>
  <si>
    <t>FIEX 078</t>
  </si>
  <si>
    <t>270</t>
  </si>
  <si>
    <t>NT MS MO NT</t>
  </si>
  <si>
    <t>2406 (V1)</t>
  </si>
  <si>
    <t>271</t>
  </si>
  <si>
    <t>2417 (V1)</t>
  </si>
  <si>
    <t>272</t>
  </si>
  <si>
    <t>BRI / BRJ / RDS</t>
  </si>
  <si>
    <t>273</t>
  </si>
  <si>
    <t>BRI / BMK / RDS</t>
  </si>
  <si>
    <t>274</t>
  </si>
  <si>
    <t>MES / SEI / LFP</t>
  </si>
  <si>
    <t>SBGL</t>
  </si>
  <si>
    <t>275</t>
  </si>
  <si>
    <t>FAB 2012</t>
  </si>
  <si>
    <t>MED / SLS / FRT</t>
  </si>
  <si>
    <t>276</t>
  </si>
  <si>
    <t>277</t>
  </si>
  <si>
    <t>HCK / ISA / MAX</t>
  </si>
  <si>
    <t>278</t>
  </si>
  <si>
    <t>MES / PCN</t>
  </si>
  <si>
    <t>GMS / DOG / RNT</t>
  </si>
  <si>
    <t>279</t>
  </si>
  <si>
    <t>280</t>
  </si>
  <si>
    <t>BRI / JVT / RDS</t>
  </si>
  <si>
    <t>281</t>
  </si>
  <si>
    <t>BRI / PCN / MAX</t>
  </si>
  <si>
    <t>01TL10</t>
  </si>
  <si>
    <t>282</t>
  </si>
  <si>
    <t>GMS / PFR / RNT</t>
  </si>
  <si>
    <t>283</t>
  </si>
  <si>
    <t>MED / BEN / RNT</t>
  </si>
  <si>
    <t>284</t>
  </si>
  <si>
    <t>CFF / BEN / RNT</t>
  </si>
  <si>
    <t>2566 (V3)</t>
  </si>
  <si>
    <t>285</t>
  </si>
  <si>
    <t>NT AR JU *SL* NT</t>
  </si>
  <si>
    <t>2619 (V1)</t>
  </si>
  <si>
    <t>286</t>
  </si>
  <si>
    <t>BRI / PCN / RNN</t>
  </si>
  <si>
    <t>01TL20</t>
  </si>
  <si>
    <t>288</t>
  </si>
  <si>
    <t>MCH / PFR / ELI</t>
  </si>
  <si>
    <t>2602 (V2)</t>
  </si>
  <si>
    <t>287</t>
  </si>
  <si>
    <t>289</t>
  </si>
  <si>
    <t>290</t>
  </si>
  <si>
    <t>DOG / LRS / ROD</t>
  </si>
  <si>
    <t>BRI / BRJ / RNN</t>
  </si>
  <si>
    <t>SLS / RCH / DVS</t>
  </si>
  <si>
    <t>292</t>
  </si>
  <si>
    <t>MHL / CAR</t>
  </si>
  <si>
    <t>GMS / BEN / ROD</t>
  </si>
  <si>
    <t>2700 (V1)</t>
  </si>
  <si>
    <t>291</t>
  </si>
  <si>
    <t>BRJ / ISA / RDS</t>
  </si>
  <si>
    <t>293</t>
  </si>
  <si>
    <t>MHL / BRJ / RDS</t>
  </si>
  <si>
    <t>294</t>
  </si>
  <si>
    <t xml:space="preserve">BRI / ISA / MAX </t>
  </si>
  <si>
    <t>69TT10</t>
  </si>
  <si>
    <t>295</t>
  </si>
  <si>
    <t>CAR / KVN / HCK / BMK / MAX / RDS</t>
  </si>
  <si>
    <t>NT FZ NT RF FZ NT</t>
  </si>
  <si>
    <t>2757 (V3)</t>
  </si>
  <si>
    <t>296</t>
  </si>
  <si>
    <t>MES / SEI / LPS / MAL / BRS / SIL</t>
  </si>
  <si>
    <t>CG BR *YS* BR SV NT</t>
  </si>
  <si>
    <t>2752 (V4)</t>
  </si>
  <si>
    <t>297</t>
  </si>
  <si>
    <t xml:space="preserve">SLS / RCH / ELI </t>
  </si>
  <si>
    <t>298</t>
  </si>
  <si>
    <t xml:space="preserve">JVT / GMR / MAX </t>
  </si>
  <si>
    <t xml:space="preserve">NT SNXX NT </t>
  </si>
  <si>
    <t>299</t>
  </si>
  <si>
    <t>CAR / BMK / KVN / MAX / KEL</t>
  </si>
  <si>
    <t>N3</t>
  </si>
  <si>
    <t>300</t>
  </si>
  <si>
    <t>CAR / BMK / KVN / RDS / KEL</t>
  </si>
  <si>
    <t>JVT / GMR / RDS</t>
  </si>
  <si>
    <t xml:space="preserve">BRJ / ISA / BRN </t>
  </si>
  <si>
    <t>NT SV *GL* PS NT</t>
  </si>
  <si>
    <t>2777 (V2)</t>
  </si>
  <si>
    <t>304</t>
  </si>
  <si>
    <t>GMR / KVN / RDS</t>
  </si>
  <si>
    <t>2761 (V1)</t>
  </si>
  <si>
    <t>302</t>
  </si>
  <si>
    <t>(GMR / KVN / RDS) JVT / HCK / MAX</t>
  </si>
  <si>
    <t>(NT FZ NT) SV *BR* SV NT</t>
  </si>
  <si>
    <t>2767 (V1)</t>
  </si>
  <si>
    <t>303</t>
  </si>
  <si>
    <t>BRI / CAR / RNN</t>
  </si>
  <si>
    <t xml:space="preserve">E1 / VERT </t>
  </si>
  <si>
    <t>301</t>
  </si>
  <si>
    <t>SLS / MCH / FRI</t>
  </si>
  <si>
    <t>305</t>
  </si>
  <si>
    <t>SLS / SUG / FRI</t>
  </si>
  <si>
    <t>306</t>
  </si>
  <si>
    <t>DOG / BEN / DVS</t>
  </si>
  <si>
    <t>308</t>
  </si>
  <si>
    <t>NT FZ MS NT</t>
  </si>
  <si>
    <t>309</t>
  </si>
  <si>
    <t>MCH / RCH / ROD</t>
  </si>
  <si>
    <t>NT RF JP NT</t>
  </si>
  <si>
    <t>310</t>
  </si>
  <si>
    <t>307</t>
  </si>
  <si>
    <t>CFF / RCH / ELI</t>
  </si>
  <si>
    <t>313</t>
  </si>
  <si>
    <t>DOG / BEN / PDU</t>
  </si>
  <si>
    <t>314</t>
  </si>
  <si>
    <t>LOGIST</t>
  </si>
  <si>
    <t>311</t>
  </si>
  <si>
    <t>JVT / GMR / ISA / BRN / BER</t>
  </si>
  <si>
    <t>NBA</t>
  </si>
  <si>
    <t>312</t>
  </si>
  <si>
    <t>JVT / GMR / ISA / RNN / BER</t>
  </si>
  <si>
    <t>CAR / KVN / RNN</t>
  </si>
  <si>
    <t>MES / AEU / MAL / LFP / DRY / MRA / STN</t>
  </si>
  <si>
    <t xml:space="preserve">01TT32 </t>
  </si>
  <si>
    <t>315</t>
  </si>
  <si>
    <t>CNI / FIA / RNT</t>
  </si>
  <si>
    <t>316</t>
  </si>
  <si>
    <t>HCK / BRJ / RDS</t>
  </si>
  <si>
    <t>NT SNED TC NT</t>
  </si>
  <si>
    <t>317</t>
  </si>
  <si>
    <t>FIA / CFF / FRT</t>
  </si>
  <si>
    <t>318</t>
  </si>
  <si>
    <t>CAR / KVN / BRN / BRS</t>
  </si>
  <si>
    <t>319</t>
  </si>
  <si>
    <t>NT _RF_ JU FZ NT</t>
  </si>
  <si>
    <t>320</t>
  </si>
  <si>
    <t>FAB 2728</t>
  </si>
  <si>
    <t>MED / RCH / DVS</t>
  </si>
  <si>
    <t>321</t>
  </si>
  <si>
    <t>BMK / BRJ / MOR / BRN</t>
  </si>
  <si>
    <t>NT FZ SNCW *SL* FZ NT</t>
  </si>
  <si>
    <t>2804 (V1)</t>
  </si>
  <si>
    <t>322</t>
  </si>
  <si>
    <t>FIA / GMS / LCN</t>
  </si>
  <si>
    <t>323</t>
  </si>
  <si>
    <t>MED / CFF / LCN</t>
  </si>
  <si>
    <t>324</t>
  </si>
  <si>
    <t>2816 (V1)</t>
  </si>
  <si>
    <t>325</t>
  </si>
  <si>
    <t>FIA/AEU/MAL/MOR/DRY/PON/TOM</t>
  </si>
  <si>
    <t>326</t>
  </si>
  <si>
    <t>JVT / BMK / RDS</t>
  </si>
  <si>
    <t>327</t>
  </si>
  <si>
    <t>BRI / HCK / BRJ / RDS / KEL</t>
  </si>
  <si>
    <t>328</t>
  </si>
  <si>
    <t>BRI / HCK / BRJ / BRS / KEL</t>
  </si>
  <si>
    <t>GMR / HCK / BRS</t>
  </si>
  <si>
    <t>(LD) RAY / KVN / BRS</t>
  </si>
  <si>
    <t>FR BÁSICA</t>
  </si>
  <si>
    <t>329</t>
  </si>
  <si>
    <t>(ALA) MHL / ISA / BRN</t>
  </si>
  <si>
    <t>(LD) MHL / ISA / BRS</t>
  </si>
  <si>
    <t>330</t>
  </si>
  <si>
    <t>(ALA) RAY / KVN / BRN</t>
  </si>
  <si>
    <t>MED / GMS / RNT</t>
  </si>
  <si>
    <t>331</t>
  </si>
  <si>
    <t>(LD) RAY / CAR / BMK / RDS</t>
  </si>
  <si>
    <t>FR TAT</t>
  </si>
  <si>
    <t>333</t>
  </si>
  <si>
    <t>(ALA) HCK / ISA / GMR / RDS</t>
  </si>
  <si>
    <t>334</t>
  </si>
  <si>
    <t>(LD) RAY / CAR / BMK / MAX</t>
  </si>
  <si>
    <t>335</t>
  </si>
  <si>
    <t>JVT / BMK / BRN</t>
  </si>
  <si>
    <t>NT SV *BR* SV NT</t>
  </si>
  <si>
    <t>332</t>
  </si>
  <si>
    <t>(LD) MHL / MES / GMR? / BRS</t>
  </si>
  <si>
    <t>336</t>
  </si>
  <si>
    <t>(ALA) BRJ / KVN / RDS</t>
  </si>
  <si>
    <t>(LD) MES / MHL / GMR / BRS</t>
  </si>
  <si>
    <t>337</t>
  </si>
  <si>
    <t>(ALA) BRJ / KVN / RAY / RDS</t>
  </si>
  <si>
    <t>338</t>
  </si>
  <si>
    <t>BRJ / KVN / MAX</t>
  </si>
  <si>
    <t>2839 (V1)</t>
  </si>
  <si>
    <t>339</t>
  </si>
  <si>
    <t>CFF / BEN / DVS</t>
  </si>
  <si>
    <t>340</t>
  </si>
  <si>
    <t>(LD) CAR / MES / ISA / BRN</t>
  </si>
  <si>
    <t>342</t>
  </si>
  <si>
    <t>(ALA) GMR / BMK / BRS</t>
  </si>
  <si>
    <t>(LD) MES / CAR / ISA / BRN</t>
  </si>
  <si>
    <t>343</t>
  </si>
  <si>
    <t>(ALA) BMK / GMR / BRS</t>
  </si>
  <si>
    <t>AEU / MHL / MAL / RDS / PON</t>
  </si>
  <si>
    <t>NT FZ SV *GL* SV NT</t>
  </si>
  <si>
    <t>2877 (V1)</t>
  </si>
  <si>
    <t>341</t>
  </si>
  <si>
    <t xml:space="preserve">FIA / DOG / DVS </t>
  </si>
  <si>
    <t>344</t>
  </si>
  <si>
    <t>(LD) RAY / MES / GMR / BRS</t>
  </si>
  <si>
    <t>(ALA) CAR / JVT / BRN</t>
  </si>
  <si>
    <t>(LD) MES / RAY / GMR / BRS</t>
  </si>
  <si>
    <t>(ALA) JVT / CAR / BRN</t>
  </si>
  <si>
    <t>BRI / HCK / MOR</t>
  </si>
  <si>
    <t>BR SV NT</t>
  </si>
  <si>
    <t>345</t>
  </si>
  <si>
    <t>FAB 2337</t>
  </si>
  <si>
    <t>MCH / SUG / PFR / RNT</t>
  </si>
  <si>
    <t xml:space="preserve">NT JP NT </t>
  </si>
  <si>
    <t>347</t>
  </si>
  <si>
    <t>CAR / ATA / SOL</t>
  </si>
  <si>
    <t>GMR / ISA / BRN</t>
  </si>
  <si>
    <t>NT SL SNCW NT</t>
  </si>
  <si>
    <t>2886 (V1)</t>
  </si>
  <si>
    <t>346</t>
  </si>
  <si>
    <t>CAR / HCK / MOR</t>
  </si>
  <si>
    <t>NT FN RF JP NT</t>
  </si>
  <si>
    <t>MES / MHL / MAL</t>
  </si>
  <si>
    <t>349</t>
  </si>
  <si>
    <t>MCH / RCH / DVS</t>
  </si>
  <si>
    <t>350</t>
  </si>
  <si>
    <t>CAR / HCK / MAX</t>
  </si>
  <si>
    <t>352</t>
  </si>
  <si>
    <t>JVT / BRJ / BRN</t>
  </si>
  <si>
    <t>NT SV VT *SV* NT</t>
  </si>
  <si>
    <t>2913 (V2)</t>
  </si>
  <si>
    <t>353</t>
  </si>
  <si>
    <t>BMK / KVN / RNN</t>
  </si>
  <si>
    <t>354</t>
  </si>
  <si>
    <t>AEU / LPS / LFP / BRS / PON / RLI</t>
  </si>
  <si>
    <t>348</t>
  </si>
  <si>
    <t>AEU / SEI / MAL / CGM</t>
  </si>
  <si>
    <t>351</t>
  </si>
  <si>
    <t>CAR / RAY / BMK / RNN</t>
  </si>
  <si>
    <t>ISA / HCK / CGM</t>
  </si>
  <si>
    <t>RAY / BMK / ISA / RNN</t>
  </si>
  <si>
    <t xml:space="preserve">CAR / HCK / CGM </t>
  </si>
  <si>
    <t>MES / CAR / HCK / BRS</t>
  </si>
  <si>
    <t>355</t>
  </si>
  <si>
    <t>ISA / MHL / CGM</t>
  </si>
  <si>
    <t>MHL / RAY / ISA / BRS</t>
  </si>
  <si>
    <t>356</t>
  </si>
  <si>
    <t>BRI / KVN / RNN</t>
  </si>
  <si>
    <t>NT FN JP NT</t>
  </si>
  <si>
    <t>357</t>
  </si>
  <si>
    <t>FIA / SEI / MOR / RLI</t>
  </si>
  <si>
    <t>358</t>
  </si>
  <si>
    <t>RAY / HCK / BMK / BRS</t>
  </si>
  <si>
    <t>BRI / JVT / CGM</t>
  </si>
  <si>
    <t>RAY / BMK / HCK / BRS</t>
  </si>
  <si>
    <t>JVT / BRI / CGM</t>
  </si>
  <si>
    <t>NT FZ FN NT</t>
  </si>
  <si>
    <t>ww</t>
  </si>
  <si>
    <t xml:space="preserve"> </t>
  </si>
  <si>
    <t>CPROG</t>
  </si>
  <si>
    <t>MECDAY</t>
  </si>
  <si>
    <t>PERMAN.</t>
  </si>
  <si>
    <t>SOU / STS / CGM / DRY</t>
  </si>
  <si>
    <t>SLS / CNI / LCN</t>
  </si>
  <si>
    <t>TEN SUGANUMA</t>
  </si>
  <si>
    <t>SGT R. BARROS</t>
  </si>
  <si>
    <t>MES / STS / AMC / FRA</t>
  </si>
  <si>
    <t>AGU / FER / DVS</t>
  </si>
  <si>
    <t>SGT VASCONCELLOS</t>
  </si>
  <si>
    <t>XAV / LPS / CGM / STN</t>
  </si>
  <si>
    <t>HAI / DAV / LCN</t>
  </si>
  <si>
    <t>SGT TADEU</t>
  </si>
  <si>
    <t>VTZ / MHS  / FRT</t>
  </si>
  <si>
    <t>SGT CARMO</t>
  </si>
  <si>
    <t>SOU / MAT / CGM / STN</t>
  </si>
  <si>
    <t>MPL / ALV / DVS</t>
  </si>
  <si>
    <t>MES / LPS / BRS / FRA</t>
  </si>
  <si>
    <t>MHS / CFF /  FRT</t>
  </si>
  <si>
    <t>SGT FLÁVIO JÚNIOR</t>
  </si>
  <si>
    <t>SLS / VNA  / MLO</t>
  </si>
  <si>
    <t>TEN BISMARK</t>
  </si>
  <si>
    <t>SGT DAYVISON</t>
  </si>
  <si>
    <t>MES / PRD / LPS / BRS / PON</t>
  </si>
  <si>
    <t>CFF / CNI / DVS</t>
  </si>
  <si>
    <t>GAM / PRD / AMC / FRA</t>
  </si>
  <si>
    <t>DAV / DOG / FRT</t>
  </si>
  <si>
    <t>SGT P. DUARTE</t>
  </si>
  <si>
    <t>MES / GAM / PRD / CGM / PON</t>
  </si>
  <si>
    <t>SGT ANILTON</t>
  </si>
  <si>
    <t>VNA / DOG / FRT</t>
  </si>
  <si>
    <t>TEN CARDOSO</t>
  </si>
  <si>
    <t>SGT LUIZ FELIPE</t>
  </si>
  <si>
    <t>SGT MARCELINO</t>
  </si>
  <si>
    <t>DAV / DOG / MLO</t>
  </si>
  <si>
    <t>GAM / PRD / BRS / PON</t>
  </si>
  <si>
    <t>MHS / CFF / LCN</t>
  </si>
  <si>
    <t>SGT NÍKOLAS</t>
  </si>
  <si>
    <t>SOU / PRD / BRS / DRY</t>
  </si>
  <si>
    <t>ALV / DOG / REN</t>
  </si>
  <si>
    <t>TEN CERCONI</t>
  </si>
  <si>
    <t>SGT COSTA GOMES</t>
  </si>
  <si>
    <t>SOU / MES / PRD / CGM / PON</t>
  </si>
  <si>
    <t>AGU / GMS / LCN</t>
  </si>
  <si>
    <t xml:space="preserve">SGT R. MACHADO </t>
  </si>
  <si>
    <t>PCN / GMR / CAS</t>
  </si>
  <si>
    <t>MES / PRD / BRS / DRY</t>
  </si>
  <si>
    <t>DAV / CFF / FRT</t>
  </si>
  <si>
    <t>XAV / LPS / BRS / FRA</t>
  </si>
  <si>
    <t>SGT YURI</t>
  </si>
  <si>
    <t>MES / PRD / CGM / SIL</t>
  </si>
  <si>
    <t>XAV / STS / BRS / TOM</t>
  </si>
  <si>
    <t>SGT MORAES</t>
  </si>
  <si>
    <t>SOU / PRD / AMC / SIL</t>
  </si>
  <si>
    <t>FER / DOG / DVS</t>
  </si>
  <si>
    <t>SGT RODOLFO SOARES</t>
  </si>
  <si>
    <t>XAV / STS / CGM / TOM</t>
  </si>
  <si>
    <t>SLS / CNI / MLO</t>
  </si>
  <si>
    <t>TEN FERNANDO</t>
  </si>
  <si>
    <t>SGT RODRIGO</t>
  </si>
  <si>
    <t>MES / PRD / RDS / MRO / FRA</t>
  </si>
  <si>
    <t>VTZ / SLS / MDO</t>
  </si>
  <si>
    <t>XAV / PRD / CGM / SIL</t>
  </si>
  <si>
    <t>HAI / DAV / DVS</t>
  </si>
  <si>
    <t>XAV / STS / MOR / TOM</t>
  </si>
  <si>
    <t>MPL / MHS / REN</t>
  </si>
  <si>
    <t>SGT AMÂNCIO</t>
  </si>
  <si>
    <t>pcn</t>
  </si>
  <si>
    <t>PCN / GMR / BRT</t>
  </si>
  <si>
    <t>SLS / CFF / LCN</t>
  </si>
  <si>
    <t>SGT R MACHADO</t>
  </si>
  <si>
    <t>SOU / STS / MOR / RLI</t>
  </si>
  <si>
    <t>DAV / VTZ / FRT</t>
  </si>
  <si>
    <t>JVT / HCK / GTR</t>
  </si>
  <si>
    <t>MED / PRD / AMC / TOM</t>
  </si>
  <si>
    <t xml:space="preserve"> XAV / DOG / REN</t>
  </si>
  <si>
    <t>SGT R BARROS</t>
  </si>
  <si>
    <t>PCN / BMK / WIL</t>
  </si>
  <si>
    <t>MAT / PRD / MOR / RLI / FRA</t>
  </si>
  <si>
    <t>AGU / MHS / TIB</t>
  </si>
  <si>
    <t>TEN MARCHIORI</t>
  </si>
  <si>
    <t>SGT DAMIS</t>
  </si>
  <si>
    <t>MAT / PRD / MOR / RLI</t>
  </si>
  <si>
    <t>SGT FONTENELE</t>
  </si>
  <si>
    <t>SOU / STS / CGM / TOM</t>
  </si>
  <si>
    <t>SLS / FER / TIB</t>
  </si>
  <si>
    <t>AEU / PRD / RDS / SIL</t>
  </si>
  <si>
    <t>HCK / BMK / CGM</t>
  </si>
  <si>
    <t>ALV / DOG / FRT</t>
  </si>
  <si>
    <t>RAY / JVT / CNA</t>
  </si>
  <si>
    <t>VNA / FER / REN</t>
  </si>
  <si>
    <t>PCN / HCK / RNN</t>
  </si>
  <si>
    <t>TEN BERJANTE</t>
  </si>
  <si>
    <t>TEN POCCINELLI</t>
  </si>
  <si>
    <t>SGT FLAVIO JÚNIOR</t>
  </si>
  <si>
    <t>TRIP</t>
  </si>
  <si>
    <t xml:space="preserve">CNI / CFF / DVS </t>
  </si>
  <si>
    <t>DAV / STS / MAX</t>
  </si>
  <si>
    <t>SLS / DOG / TIB</t>
  </si>
  <si>
    <t>TEN CAIAFFA</t>
  </si>
  <si>
    <t>CNI / DOG / FRT</t>
  </si>
  <si>
    <t xml:space="preserve"> CAR / BRJ / MAX</t>
  </si>
  <si>
    <t>SLS / VNA / DVS</t>
  </si>
  <si>
    <t xml:space="preserve"> RAY / JVT / BRN</t>
  </si>
  <si>
    <t>JVT / SUG / BRD</t>
  </si>
  <si>
    <t>DAV / DOG / DVS</t>
  </si>
  <si>
    <t>TEN HAICKI</t>
  </si>
  <si>
    <t>PCN / SUG / RDS</t>
  </si>
  <si>
    <t>SLS / VNA / LCN</t>
  </si>
  <si>
    <t>DAV / SUG / RDS</t>
  </si>
  <si>
    <t>CAR / BMK / FTL</t>
  </si>
  <si>
    <t xml:space="preserve"> VNA / DOG / REN</t>
  </si>
  <si>
    <t>PCN / BRJ / RDS</t>
  </si>
  <si>
    <t>XAV / CNI /  TIB</t>
  </si>
  <si>
    <t>SLS / MHS / HAK</t>
  </si>
  <si>
    <t>PCN / SUG / SWA</t>
  </si>
  <si>
    <t>VNA / GMS / LCN</t>
  </si>
  <si>
    <t>TEN JOÃO VITOR</t>
  </si>
  <si>
    <t>ALV / SLS / TIB</t>
  </si>
  <si>
    <t>CAR / SUG / FTL</t>
  </si>
  <si>
    <t>VTZ / GMS / LCN</t>
  </si>
  <si>
    <t>HCK / SUG / SWA</t>
  </si>
  <si>
    <t>SLS / CNI / REN</t>
  </si>
  <si>
    <t>ALV / GMS / HAK</t>
  </si>
  <si>
    <t>TEN MATHEUS</t>
  </si>
  <si>
    <t>ALV / VNA / TIB</t>
  </si>
  <si>
    <t>TEN SOLIS</t>
  </si>
  <si>
    <t>RAY / SUG / RDS</t>
  </si>
  <si>
    <t>VTZ / CFF / REN</t>
  </si>
  <si>
    <t>ALV / CFF / LCN</t>
  </si>
  <si>
    <t>DAV / GMS / MDO</t>
  </si>
  <si>
    <t>JVT / SUG / FTL</t>
  </si>
  <si>
    <t>VTZ / DOG / TIB</t>
  </si>
  <si>
    <t>HCK / GMR / KAY</t>
  </si>
  <si>
    <t>DAV / CNI / PDU</t>
  </si>
  <si>
    <t>CAR / SUG / DRK</t>
  </si>
  <si>
    <t>MHS / GMS / MLO</t>
  </si>
  <si>
    <t>TEN VIANA</t>
  </si>
  <si>
    <t>DAV / DOG / TIB</t>
  </si>
  <si>
    <t>AEU / PRD / BRS / MRO</t>
  </si>
  <si>
    <t>XAV / SLS / MLO</t>
  </si>
  <si>
    <t>SOU / STS / LFP / RLI</t>
  </si>
  <si>
    <t>DAV / DOG / LCN</t>
  </si>
  <si>
    <t>MAT / PRD / LFP / RDS / MRA</t>
  </si>
  <si>
    <t>ALV / CFF / TIB</t>
  </si>
  <si>
    <t>MED  / PRD / LFP / RAM / MRA</t>
  </si>
  <si>
    <t>ALV / CFF / MDO</t>
  </si>
  <si>
    <t>TEN LOPES</t>
  </si>
  <si>
    <t>XAV / VNA / MLO</t>
  </si>
  <si>
    <t>MED / PRD / LFP / RLI</t>
  </si>
  <si>
    <t>MES / STS / BRS / RLI</t>
  </si>
  <si>
    <t>CAR / GMR / YUR</t>
  </si>
  <si>
    <t>MES / MED / PRD / MOR / RLI</t>
  </si>
  <si>
    <t>PCN / HCK / BRE</t>
  </si>
  <si>
    <t>MAT / SEI / BRS / RLI</t>
  </si>
  <si>
    <t>TEN RAYAN</t>
  </si>
  <si>
    <t>HCK / GMR / RDS</t>
  </si>
  <si>
    <t>DAV / DOG / MDO</t>
  </si>
  <si>
    <t>CAR / SUG / MAX</t>
  </si>
  <si>
    <t>XAV / MHS / REN</t>
  </si>
  <si>
    <t>PCN / HCK / RDS</t>
  </si>
  <si>
    <t>TEN GUIMARÃES</t>
  </si>
  <si>
    <t>CAR / BMK / MAX</t>
  </si>
  <si>
    <t>SOU / MPL / HAK</t>
  </si>
  <si>
    <t>TEN SANTOS</t>
  </si>
  <si>
    <t>PCN / BRJ / MOR</t>
  </si>
  <si>
    <t>VNA / DOG / LCN</t>
  </si>
  <si>
    <t>SGT P DUARTE</t>
  </si>
  <si>
    <t>MPL / MHS / DVS</t>
  </si>
  <si>
    <t>MPL / MCH / MLO</t>
  </si>
  <si>
    <t>MCH / CNI / DVS</t>
  </si>
  <si>
    <t>JVT / BRJ / MOR</t>
  </si>
  <si>
    <t>MAT / PRD / CGM / STN</t>
  </si>
  <si>
    <t>HCK / GMR / CGM</t>
  </si>
  <si>
    <t>MAT / PRD / MAL / MRA</t>
  </si>
  <si>
    <t xml:space="preserve">FER / MCH / HAK </t>
  </si>
  <si>
    <t>HCK / SUG / RNN</t>
  </si>
  <si>
    <t>MAT / PRD / LFP / MRO</t>
  </si>
  <si>
    <t>FER / MCH / ELI</t>
  </si>
  <si>
    <t>MED / PRD / CGM / STN</t>
  </si>
  <si>
    <t>MED / SEI / LFP / TOM</t>
  </si>
  <si>
    <t>TEN GOMES</t>
  </si>
  <si>
    <t>MED / SEI / LFP / MRO</t>
  </si>
  <si>
    <t>STS / CAR / CGM</t>
  </si>
  <si>
    <t>MED / PRD / LFP / MRO</t>
  </si>
  <si>
    <t>RAY / BRJ / RNN</t>
  </si>
  <si>
    <t>SOU / MED / STS / LFP / TOM</t>
  </si>
  <si>
    <t>TEN DOMINGOS</t>
  </si>
  <si>
    <t xml:space="preserve"> RAY / GMR / BRN</t>
  </si>
  <si>
    <t>RAY / GMR / MAX</t>
  </si>
  <si>
    <t>MAT / SEI / MOR / MRO</t>
  </si>
  <si>
    <t>VNA / MCH / HAK</t>
  </si>
  <si>
    <t>SEI / HCK / MAX</t>
  </si>
  <si>
    <t>LPS / BRJ / CGM</t>
  </si>
  <si>
    <t>SEI / GMR / MOR</t>
  </si>
  <si>
    <t>ALV / CNI / LCN</t>
  </si>
  <si>
    <t>ALV / MCH / MLO</t>
  </si>
  <si>
    <t>CNI / MCH / MLO</t>
  </si>
  <si>
    <t>SLS / CNI / FRI</t>
  </si>
  <si>
    <t>MCH / GMS / TIB</t>
  </si>
  <si>
    <t>RAY / PCN / RNN</t>
  </si>
  <si>
    <t>RAY / CAR / CGM</t>
  </si>
  <si>
    <t>CFF / GMS / LCN</t>
  </si>
  <si>
    <t>SLS / MCH / DVS</t>
  </si>
  <si>
    <t>RAY / MES / YUR</t>
  </si>
  <si>
    <t>SLS / GMS / FRT</t>
  </si>
  <si>
    <t>RAY / PCN / YUR</t>
  </si>
  <si>
    <t>CFF / MCH / DVS</t>
  </si>
  <si>
    <t xml:space="preserve"> RAY / CAR / RDS</t>
  </si>
  <si>
    <t>SLS / GMS / MLO</t>
  </si>
  <si>
    <t>HCK / CAR / RDS</t>
  </si>
  <si>
    <t>SLS / DOG / LCN</t>
  </si>
  <si>
    <t>MES / RAY / YUR</t>
  </si>
  <si>
    <t>CFF / MCH / TIB</t>
  </si>
  <si>
    <t>HCK / CAR / BRN</t>
  </si>
  <si>
    <t>TRIPULAÇÃO OFRAG</t>
  </si>
  <si>
    <t>CAR / BRJ / YUR</t>
  </si>
  <si>
    <t>HCK / BRJ / BRS</t>
  </si>
  <si>
    <t>TEN PAULA FREITAS</t>
  </si>
  <si>
    <t>HCK / CAR / YUR</t>
  </si>
  <si>
    <t>SLS / CFF / DVS</t>
  </si>
  <si>
    <t>RAY / PCN / BRN</t>
  </si>
  <si>
    <t>FER / DOG / TIB</t>
  </si>
  <si>
    <t>CAR / BRJ / RDS</t>
  </si>
  <si>
    <t>TEN BEN-HUR</t>
  </si>
  <si>
    <t>CAR / GMR / RDS</t>
  </si>
  <si>
    <t>FER / CNI / REN</t>
  </si>
  <si>
    <t>CAR / GMR / RNN</t>
  </si>
  <si>
    <t>RAY / BMK / CGM</t>
  </si>
  <si>
    <t>AEU / SEI / CGM / RLI</t>
  </si>
  <si>
    <t>MCH / CNI / LCN</t>
  </si>
  <si>
    <t>TEN KEVIN</t>
  </si>
  <si>
    <t>JVT / CAR / RNN</t>
  </si>
  <si>
    <t>AEU / SEI / MAL / SIL</t>
  </si>
  <si>
    <t>CFF / CNI / MDO</t>
  </si>
  <si>
    <t xml:space="preserve"> CAR / BRJ / CGM</t>
  </si>
  <si>
    <t>CNI / DOG / ELI</t>
  </si>
  <si>
    <t>TEN LOURES</t>
  </si>
  <si>
    <t>JVT / GMR / MAX</t>
  </si>
  <si>
    <t>AEU / SEI / CGM / PON</t>
  </si>
  <si>
    <t xml:space="preserve">GMS / DOG / REN </t>
  </si>
  <si>
    <t>RAY / CAR / MAX</t>
  </si>
  <si>
    <t>FIA / CFF / REN</t>
  </si>
  <si>
    <t>AEU / SEI / MAL / PON / FRA</t>
  </si>
  <si>
    <t>GMS / DOG / MDO</t>
  </si>
  <si>
    <t>TEN ISABELLA</t>
  </si>
  <si>
    <t>MHL / BRJ / MAX</t>
  </si>
  <si>
    <t>AEU / SEI / MAL / TOM</t>
  </si>
  <si>
    <t>SLS / DOG / ELI</t>
  </si>
  <si>
    <t>MCH / CFF / TIB</t>
  </si>
  <si>
    <t>PCN / JVT / MAX</t>
  </si>
  <si>
    <t>AEU / SEI / MOR / STN</t>
  </si>
  <si>
    <t>CNI / MCH / LCN</t>
  </si>
  <si>
    <t>PCN / GMR / BRN</t>
  </si>
  <si>
    <t>JVT / BMK / MAX</t>
  </si>
  <si>
    <t>MCH / DOG / TIB</t>
  </si>
  <si>
    <t>CAR / BMK / BRE</t>
  </si>
  <si>
    <t>MAT / SEI / MAL / SIL</t>
  </si>
  <si>
    <t>CFF / MCH / LCN</t>
  </si>
  <si>
    <t>MAT / SEI / CGM / RLI</t>
  </si>
  <si>
    <t>RAY / BRJ / MOR</t>
  </si>
  <si>
    <t>MAT / SEI / LFP / FRA</t>
  </si>
  <si>
    <t>SLS / MCH / REN</t>
  </si>
  <si>
    <t xml:space="preserve"> JVT / BRJ / MAX</t>
  </si>
  <si>
    <t>MAT / SEI / MAL / MRA</t>
  </si>
  <si>
    <t>CFF / MCH / FRT</t>
  </si>
  <si>
    <t>MES / LPS / MAL / RLI</t>
  </si>
  <si>
    <t>SLS / FER / DVS</t>
  </si>
  <si>
    <t>MAT / SEI / MAL / FRA</t>
  </si>
  <si>
    <t>FER / DOG / HAK</t>
  </si>
  <si>
    <t>HCK / BRJ / CGM</t>
  </si>
  <si>
    <t>MAT / SEI / LFP / MRA</t>
  </si>
  <si>
    <t>MCH / DOG / LCN</t>
  </si>
  <si>
    <t>SGT MAX</t>
  </si>
  <si>
    <t>HCK / BRJ / MOR</t>
  </si>
  <si>
    <t>MAT / AEU / MOR / RLI</t>
  </si>
  <si>
    <t xml:space="preserve">MCH / DOG / DVS </t>
  </si>
  <si>
    <t>RAY / JVT / MAX</t>
  </si>
  <si>
    <t xml:space="preserve">MES / LPS / CGM / SIL </t>
  </si>
  <si>
    <t xml:space="preserve">CNI / DOG / ELI </t>
  </si>
  <si>
    <t>PCN / CAR / CGM</t>
  </si>
  <si>
    <t>MES / LPS / MAL / MRA</t>
  </si>
  <si>
    <t>CFF / FIA / HAK</t>
  </si>
  <si>
    <t>FER / SLS / DVS</t>
  </si>
  <si>
    <t>TEN ROCHA</t>
  </si>
  <si>
    <t>SGT RENAN</t>
  </si>
  <si>
    <t>MHL / KVN / RNN</t>
  </si>
  <si>
    <t>MES / LPS / MOR / MRO</t>
  </si>
  <si>
    <t>SGT HALANKLEM</t>
  </si>
  <si>
    <t>CAR / BMK /CGM</t>
  </si>
  <si>
    <t>CNI / GMS / LCN</t>
  </si>
  <si>
    <t>RAY / BRJ / MAX</t>
  </si>
  <si>
    <t>FER / CFF / HAK</t>
  </si>
  <si>
    <t>PCN / KVN / BRS</t>
  </si>
  <si>
    <t xml:space="preserve">MES / LPS / MOR / MRA </t>
  </si>
  <si>
    <t>FER / GMS / HAK</t>
  </si>
  <si>
    <t>MES / HCK / CGM / PON</t>
  </si>
  <si>
    <t>MCH / FER / ELI</t>
  </si>
  <si>
    <t>RAY / BMK / BRS</t>
  </si>
  <si>
    <t>MAT / LPS / LFP / DRY</t>
  </si>
  <si>
    <t>MED / MCH / HAK</t>
  </si>
  <si>
    <t>CAR / BRJ / RNN</t>
  </si>
  <si>
    <t>MES / HCK / MOR / FRA</t>
  </si>
  <si>
    <t>CFF / CNI / TIB</t>
  </si>
  <si>
    <t>PCN / KVN / YUR</t>
  </si>
  <si>
    <t>SGT BRENO</t>
  </si>
  <si>
    <t>HCK / JVT / MAX</t>
  </si>
  <si>
    <t>PCN / ISA / YUR</t>
  </si>
  <si>
    <t>MCH / FER / FRT</t>
  </si>
  <si>
    <t>CFF / GMS / MLO</t>
  </si>
  <si>
    <t>CAR / PCN / RNN</t>
  </si>
  <si>
    <t>FER / MCH / LCN</t>
  </si>
  <si>
    <t>CAR / PCN / MAX</t>
  </si>
  <si>
    <t>CFF / SLS / FRI</t>
  </si>
  <si>
    <t xml:space="preserve"> RAY / BMK / BRN</t>
  </si>
  <si>
    <t>PCN / BRJ / MAX</t>
  </si>
  <si>
    <t>MAT / LPS / MOR / PON</t>
  </si>
  <si>
    <t>MHL / PCN / MOR</t>
  </si>
  <si>
    <t>MES / JVT / MAL / SIL</t>
  </si>
  <si>
    <t>CFF / MCH / REN</t>
  </si>
  <si>
    <t>TEN LOURENÇO</t>
  </si>
  <si>
    <t>MES / HCK / BRS / RLI</t>
  </si>
  <si>
    <t>RAY / KVN / YUR</t>
  </si>
  <si>
    <t xml:space="preserve">MES / JVT / CGM / TOM </t>
  </si>
  <si>
    <t>SLS / CFF / ELI</t>
  </si>
  <si>
    <t>CAR / KVN / BRS</t>
  </si>
  <si>
    <t>MAT / LPS / RDS / RLI</t>
  </si>
  <si>
    <t>HCK / GMR / BRN</t>
  </si>
  <si>
    <t>AEU / SEI / RDS / FRA</t>
  </si>
  <si>
    <t>MCH / GMS / ELI</t>
  </si>
  <si>
    <t>PCN / ISA / BRN</t>
  </si>
  <si>
    <t>AEU / HCK / MOR / TOM</t>
  </si>
  <si>
    <t>JVT / GMR / YUR</t>
  </si>
  <si>
    <t>GMS / DOG / DVS</t>
  </si>
  <si>
    <t>PCN / BRJ / RNN</t>
  </si>
  <si>
    <t>MAT / SEI / MAL / TOM</t>
  </si>
  <si>
    <t>CAR / BMK / YUR</t>
  </si>
  <si>
    <t>MES / HCK / BRS / FRA</t>
  </si>
  <si>
    <t>DOG / GMS / DVS</t>
  </si>
  <si>
    <t>RAY / BRJ / / MAX</t>
  </si>
  <si>
    <t>AEU / HCK / RDS / MRO</t>
  </si>
  <si>
    <t>SLS / MCH / LCN</t>
  </si>
  <si>
    <t>SLS / FER / HAK</t>
  </si>
  <si>
    <t>CAR / ISA / MAX</t>
  </si>
  <si>
    <t>SGT TIBOLLA</t>
  </si>
  <si>
    <t>PCN / HCK / BRN</t>
  </si>
  <si>
    <t>FER / CFF / MLO</t>
  </si>
  <si>
    <t xml:space="preserve"> PCN / BMK / RNN</t>
  </si>
  <si>
    <t>MHL / GMR / MAX</t>
  </si>
  <si>
    <t>SEI / LPS / MAL / RLI</t>
  </si>
  <si>
    <t>HCK / KVN / BRN</t>
  </si>
  <si>
    <t>MHL / BRJ / RNN</t>
  </si>
  <si>
    <t>CFF / FER / LCN</t>
  </si>
  <si>
    <t>PCN / KVN / RNN</t>
  </si>
  <si>
    <t>BMK / GMR / RNN</t>
  </si>
  <si>
    <t xml:space="preserve">SEI / LPS / LFP / DRY </t>
  </si>
  <si>
    <t>SLS / CNI / FRT</t>
  </si>
  <si>
    <t xml:space="preserve">MAT / SEI / MAL / PON </t>
  </si>
  <si>
    <t>SEI / LPS / LFP / MRA</t>
  </si>
  <si>
    <t xml:space="preserve">SLS / CFF / HAK </t>
  </si>
  <si>
    <t>SLS / FER / ELI</t>
  </si>
  <si>
    <t>FIA / DOG / MLO</t>
  </si>
  <si>
    <t>BMK / GMR / YUR</t>
  </si>
  <si>
    <t>AEU / JVT / LFP / PON</t>
  </si>
  <si>
    <t>FER / SLS / FRT</t>
  </si>
  <si>
    <t>BRJ / GMR / YUR</t>
  </si>
  <si>
    <t>CNI / DOG / HAK</t>
  </si>
  <si>
    <t>CNI / SLS / LCN</t>
  </si>
  <si>
    <t>FER / GMS / DVS</t>
  </si>
  <si>
    <t>RAY / ISA / YUR</t>
  </si>
  <si>
    <t>BMK / RAY / RNN</t>
  </si>
  <si>
    <t>JVT / KVN / YUR</t>
  </si>
  <si>
    <t>JVT / BMK / YUR</t>
  </si>
  <si>
    <t>CNI / GMS / HAK</t>
  </si>
  <si>
    <t>PCN / CAR / MAX</t>
  </si>
  <si>
    <t>MAT / JVT / LFP / STN / PON</t>
  </si>
  <si>
    <t>PCN / ISA / MAX</t>
  </si>
  <si>
    <t>CNI / BEN / RNT</t>
  </si>
  <si>
    <t>PCN / GMR / YUR</t>
  </si>
  <si>
    <t xml:space="preserve"> BRJ / KVN / MAX</t>
  </si>
  <si>
    <t>CNI / LRS / RNT</t>
  </si>
  <si>
    <t xml:space="preserve"> BRJ / KVN / YUR</t>
  </si>
  <si>
    <t>MAT / HCK / MOR / STN</t>
  </si>
  <si>
    <t>SEI / LPS / MOR / DRY</t>
  </si>
  <si>
    <t>CNI / BEN / TIB</t>
  </si>
  <si>
    <t>MED / RCH / FRI</t>
  </si>
  <si>
    <t>SLS / LRS / FRT</t>
  </si>
  <si>
    <t>CNI / BEN / MLO</t>
  </si>
  <si>
    <t>CNI / RCH / RNT</t>
  </si>
  <si>
    <t>FER / BEN / TIB</t>
  </si>
  <si>
    <t>MCH / GMS / RNT</t>
  </si>
  <si>
    <t>SLS / PFR / MLO</t>
  </si>
  <si>
    <t>HCK / ISA / MOR</t>
  </si>
  <si>
    <t>SLS / BEN / FRI</t>
  </si>
  <si>
    <t>CNI / BEN / FRT</t>
  </si>
  <si>
    <t>BMK / KVN / YUR</t>
  </si>
  <si>
    <t>SEI / LPS / LFP / RLI</t>
  </si>
  <si>
    <t>GMR / ISA / MAX</t>
  </si>
  <si>
    <t>TRIPULAÇÃO RAT</t>
  </si>
  <si>
    <t>SLS / LRS / HAK</t>
  </si>
  <si>
    <t>BRJ / KVN / MOR</t>
  </si>
  <si>
    <t>MAT / JVT / BRS / STN</t>
  </si>
  <si>
    <t>MCH / GMS / FRI</t>
  </si>
  <si>
    <t>MAT / JVT / BRS / MRO</t>
  </si>
  <si>
    <t>AEU / JVT / RDS / FRA</t>
  </si>
  <si>
    <t>SEI / LPS / MOR / MRO</t>
  </si>
  <si>
    <t>MAT / JVT / BRS / PON</t>
  </si>
  <si>
    <t>JVT / KVN / RNN</t>
  </si>
  <si>
    <t>AEU / HCK / RDS / RLI</t>
  </si>
  <si>
    <t xml:space="preserve"> GMR / KVN / MAX</t>
  </si>
  <si>
    <t>SEI / LPS / MOR / PON</t>
  </si>
  <si>
    <t>FIA / SUG / ELI</t>
  </si>
  <si>
    <t xml:space="preserve">MHL / KVN / MAX </t>
  </si>
  <si>
    <t>FIA / LRS / MLO</t>
  </si>
  <si>
    <t>SLS / RAY / HAK</t>
  </si>
  <si>
    <t>MHL /  PCN / REN</t>
  </si>
  <si>
    <t xml:space="preserve">BRJ / GMR / MAX </t>
  </si>
  <si>
    <t>AEU / HCK / RDS / FRA</t>
  </si>
  <si>
    <t>SLS / PFR / TIB</t>
  </si>
  <si>
    <t>BRJ / ISA /  YUR</t>
  </si>
  <si>
    <t>AEU / JVT / MOR / STN</t>
  </si>
  <si>
    <t>SLS / BEN / MLO</t>
  </si>
  <si>
    <t xml:space="preserve">MAT / HCK / BRS / DRY </t>
  </si>
  <si>
    <t xml:space="preserve"> BMK / KVN / MAX</t>
  </si>
  <si>
    <t>MAT / JVT / BRS / RLI</t>
  </si>
  <si>
    <t>GMR / ISA / YUR</t>
  </si>
  <si>
    <t>CNI / SUG / LCN</t>
  </si>
  <si>
    <t>CAR / ISA / YUR</t>
  </si>
  <si>
    <t>AEU / HCK / RDS / STN</t>
  </si>
  <si>
    <t xml:space="preserve">FER / RCH / HAK </t>
  </si>
  <si>
    <t>PCN /  BRJ / YUR</t>
  </si>
  <si>
    <t xml:space="preserve">AEU / HCK / MOR / SIL </t>
  </si>
  <si>
    <t>BMK / GMR / MAX</t>
  </si>
  <si>
    <t>TRIPULÇÃO OFRAG</t>
  </si>
  <si>
    <t>AEU / JVT / RDS / STN</t>
  </si>
  <si>
    <t>FER  / RCH / FRT</t>
  </si>
  <si>
    <t>SLS / AEU / LCN</t>
  </si>
  <si>
    <t>MAT / MHL / BRS / STN</t>
  </si>
  <si>
    <t>SD DUARTE</t>
  </si>
  <si>
    <t>FER / SUG / FRT</t>
  </si>
  <si>
    <t>SD EVERSON</t>
  </si>
  <si>
    <t>MES / MHL / BRS / STN</t>
  </si>
  <si>
    <t>MED / SUG / RNT</t>
  </si>
  <si>
    <t>SD CIRNE</t>
  </si>
  <si>
    <t>MES / HCK / MOR / MRA</t>
  </si>
  <si>
    <t>AEU / JVT / RDS / MRA</t>
  </si>
  <si>
    <t>MES / MHL / MOR / MRO</t>
  </si>
  <si>
    <t>CFF / MCH / ELI</t>
  </si>
  <si>
    <t>MES / FIA / RDS / STN</t>
  </si>
  <si>
    <t>RAY / SLS / FRT</t>
  </si>
  <si>
    <t>SD JOÃO VITTOR</t>
  </si>
  <si>
    <t>MES / HCK / BRS / MRO</t>
  </si>
  <si>
    <t>AEU / JVT / BRS / RLI</t>
  </si>
  <si>
    <t>MAT / MHL / MOR / MRA</t>
  </si>
  <si>
    <t>AEU / MHL / MAL / FRA</t>
  </si>
  <si>
    <t>GMS / DOG / FRT</t>
  </si>
  <si>
    <t>MES / HCK / RDS / MRA</t>
  </si>
  <si>
    <t xml:space="preserve">FER / RAY / ELI </t>
  </si>
  <si>
    <t xml:space="preserve">MAT / HCK / RDS / MRO </t>
  </si>
  <si>
    <t>CFF / GMS /  RNT</t>
  </si>
  <si>
    <t>MAT / JVT / MOR / PON</t>
  </si>
  <si>
    <t>SLS / AEU / FRT</t>
  </si>
  <si>
    <t>MES / HCK / MAL / MRA</t>
  </si>
  <si>
    <t>FER / RAY / RNT</t>
  </si>
  <si>
    <t xml:space="preserve">MAT / JVT / MOR / TOM </t>
  </si>
  <si>
    <t>SD JOÃO VITTOR</t>
  </si>
  <si>
    <t>MES / HCK / RDS / TOM</t>
  </si>
  <si>
    <t>GMS / LRS / FRT</t>
  </si>
  <si>
    <t>SD EVERSON</t>
  </si>
  <si>
    <t>AEU / JVT / MAL / PON</t>
  </si>
  <si>
    <t>DOG / RCH / HAK</t>
  </si>
  <si>
    <t>SD DUARTE</t>
  </si>
  <si>
    <t xml:space="preserve">MES / HCK / RDS / MRA </t>
  </si>
  <si>
    <t>MES / HCK / MAL / PON</t>
  </si>
  <si>
    <t xml:space="preserve">FIA / LPS / MOR / SIL </t>
  </si>
  <si>
    <t xml:space="preserve">AEU / MHL / MAL / STN </t>
  </si>
  <si>
    <t>SLS / RAY / MLO</t>
  </si>
  <si>
    <t xml:space="preserve">FIA / LPS / MOR / TOM </t>
  </si>
  <si>
    <t>CFF / MCH / FRI</t>
  </si>
  <si>
    <t>AEU / MHL / RDS / SIL</t>
  </si>
  <si>
    <t>SLS / BEN / ELI</t>
  </si>
  <si>
    <t>AEU / SEI / MAL / RLI</t>
  </si>
  <si>
    <t>FIA / LPS / RDS / TOM</t>
  </si>
  <si>
    <t>SLS / BEN / LCN</t>
  </si>
  <si>
    <t>AEU / MHL / MAL / LFP / PON</t>
  </si>
  <si>
    <t>SLS / BEN / RNT</t>
  </si>
  <si>
    <t>FIA / LPS / MAL / PON</t>
  </si>
  <si>
    <t>AEU / MHL / BRS / MRA</t>
  </si>
  <si>
    <t>SLS / BEN / DVS</t>
  </si>
  <si>
    <t>SD CIRNE</t>
  </si>
  <si>
    <t>CAR / ISA / RNN / MAX</t>
  </si>
  <si>
    <t>FIA / LPS / MAL / LFP / SIL</t>
  </si>
  <si>
    <t>SD HERMIRO</t>
  </si>
  <si>
    <t>CAR / BMK / BRN</t>
  </si>
  <si>
    <t>MES / SEI / MAL / DRY</t>
  </si>
  <si>
    <t>BMK / ISA / RNN</t>
  </si>
  <si>
    <t>AEU / MHL / RDS / TOM</t>
  </si>
  <si>
    <t>CAR / KVN / CGM</t>
  </si>
  <si>
    <t>AEU / SEI / RDS / MRA</t>
  </si>
  <si>
    <t>SGT ALISSON GOMES</t>
  </si>
  <si>
    <t>MES / MHL / MAL / RLI</t>
  </si>
  <si>
    <t>MES / SEI / RDS / DRY</t>
  </si>
  <si>
    <t>MES / MHL / MAL / STN</t>
  </si>
  <si>
    <t>CAR / KVN / RDS</t>
  </si>
  <si>
    <t>MES / SEI / BRS / DRY</t>
  </si>
  <si>
    <t>BMK / GMR / BRN</t>
  </si>
  <si>
    <t>MES / MHL / RDS / TOM</t>
  </si>
  <si>
    <t>GMR / KVN / YUR</t>
  </si>
  <si>
    <t>BMK / KVN / MAX</t>
  </si>
  <si>
    <t>FIA / LPS / MOR / DRY</t>
  </si>
  <si>
    <t>BMK / GMR / CGM</t>
  </si>
  <si>
    <t>MES / SEI / MAL / LFP / RLI</t>
  </si>
  <si>
    <t>MCH / CFF / RNT</t>
  </si>
  <si>
    <t>FIA / LPS / MAL / TOM</t>
  </si>
  <si>
    <t>SLS / RAY / LCN</t>
  </si>
  <si>
    <t>MES / MHL / BRS / MRO</t>
  </si>
  <si>
    <t>MCH / CFF / ELI</t>
  </si>
  <si>
    <t>FIA / LPS / BRS / STN</t>
  </si>
  <si>
    <t>SLS / RAY / FRI</t>
  </si>
  <si>
    <t>MES / MHL / BRS / TOM</t>
  </si>
  <si>
    <t>SLS / RAY / FRT</t>
  </si>
  <si>
    <t>SEI / LPS / MOR / LFP / PON</t>
  </si>
  <si>
    <t xml:space="preserve">MCH / CFF / LCN </t>
  </si>
  <si>
    <t>MES / MHL / RDS / DRY</t>
  </si>
  <si>
    <t>SLS / BEN / HAK</t>
  </si>
  <si>
    <t>SEI / LPS / MAL / DRY</t>
  </si>
  <si>
    <t>MES / MHL / RDS / SIL</t>
  </si>
  <si>
    <t>SEI / LPS / MOR / LFP / DRY</t>
  </si>
  <si>
    <t>HCK / BMK / MAX</t>
  </si>
  <si>
    <t>SEI / LPS / MAL / LFP / RLI</t>
  </si>
  <si>
    <t>GMR / KVN / BRN</t>
  </si>
  <si>
    <t>GMS / LRS / ELI</t>
  </si>
  <si>
    <t>MCH / RCH / RNT</t>
  </si>
  <si>
    <t>SEI / LPS / MOR / CGM / DRY</t>
  </si>
  <si>
    <t>GMS / PFR / ELI</t>
  </si>
  <si>
    <t>BMK / KVN / CGM</t>
  </si>
  <si>
    <t>SEI / LPS / MAL / TOM</t>
  </si>
  <si>
    <t>CFF / RCH /  LCN</t>
  </si>
  <si>
    <t>HCK / GMR /  BRN</t>
  </si>
  <si>
    <t>FIA / LPS / MAL / DRY</t>
  </si>
  <si>
    <t>GMS / LRS / DVS</t>
  </si>
  <si>
    <t>FIA / SEI / MOR / LFP / SIL</t>
  </si>
  <si>
    <t>MCH / RCH / FRT</t>
  </si>
  <si>
    <t>DOG / LRS / HAK</t>
  </si>
  <si>
    <t>HCK / GMR / MAX</t>
  </si>
  <si>
    <t>FIA / LPS / MOR / RLI</t>
  </si>
  <si>
    <t xml:space="preserve"> GMR / KVN / BRN</t>
  </si>
  <si>
    <t>SEI / LPS / MOR / MAX / MRA</t>
  </si>
  <si>
    <t>AEU / LPS / MOR / DRY</t>
  </si>
  <si>
    <t>FIA / LPS / MOR / SIL</t>
  </si>
  <si>
    <t>DOG / LRS / LCN</t>
  </si>
  <si>
    <t>GMS / PFR / FRT</t>
  </si>
  <si>
    <t>FIA / LPS / MOR / MAX / TOM</t>
  </si>
  <si>
    <t>DOG / LRS / RNT</t>
  </si>
  <si>
    <t>GMS / PFR / DVS</t>
  </si>
  <si>
    <t>TRIPULAÇÃO FIEX</t>
  </si>
  <si>
    <t>AEU / LPS / RDS / PON</t>
  </si>
  <si>
    <t>MCH / PFR / LCN</t>
  </si>
  <si>
    <t>SEI /  LPS / MOR / MRO</t>
  </si>
  <si>
    <t>GMS / LRS / HAK</t>
  </si>
  <si>
    <t>FIA / AEU / RDS / TOM</t>
  </si>
  <si>
    <t>CFF / GMS / ELI</t>
  </si>
  <si>
    <t>HCK / BRJ / BRN</t>
  </si>
  <si>
    <t>SEI / LPS / RDS / SIL</t>
  </si>
  <si>
    <t>CFF / PFR / HAK</t>
  </si>
  <si>
    <t>SEI / LPS / RDS / RLI</t>
  </si>
  <si>
    <t>DOG / PFR / LCN</t>
  </si>
  <si>
    <t>FIA / AEU / RDS / PON</t>
  </si>
  <si>
    <t xml:space="preserve">CAR / BRJ / BRN  </t>
  </si>
  <si>
    <t>SEI / LPS / MOR / TOM</t>
  </si>
  <si>
    <t>MCH / LRS / FRI</t>
  </si>
  <si>
    <t>FIA/AEU/RDS/MRA (MOR/DRY)</t>
  </si>
  <si>
    <t>CFF / PFR / LCN</t>
  </si>
  <si>
    <t>SEI / LPS / MOR / SIL</t>
  </si>
  <si>
    <t>DOG / LRS / DVS</t>
  </si>
  <si>
    <t>HCK / BRJ / RNN</t>
  </si>
  <si>
    <t>FIA / AEU / MOR / MRA</t>
  </si>
  <si>
    <t>CAR / BRJ / CGM</t>
  </si>
  <si>
    <t>CFF / LRS / RNT</t>
  </si>
  <si>
    <t>HCK / CAR / RNN</t>
  </si>
  <si>
    <t>FIA / SEI / RDS / DRY</t>
  </si>
  <si>
    <t>MCH / PFR / FRT</t>
  </si>
  <si>
    <t>FIA / AEU / LFP / RLI</t>
  </si>
  <si>
    <t>CFF / SUG / LCN</t>
  </si>
  <si>
    <t>BRJ / GMR / CGM</t>
  </si>
  <si>
    <t>SEI / LPS / RDS / PON</t>
  </si>
  <si>
    <t>CFF / LRS / FRI</t>
  </si>
  <si>
    <t>HCK / ISA / RNN</t>
  </si>
  <si>
    <t>FIA / SEI / MOR / MRO</t>
  </si>
  <si>
    <t>MCH / SUG / FRT</t>
  </si>
  <si>
    <t>AEU / LPS / RDS / STN</t>
  </si>
  <si>
    <t>FIA / SEI / MOR / DRY</t>
  </si>
  <si>
    <t>AEU / LPS / LFP / STN</t>
  </si>
  <si>
    <t xml:space="preserve">CAR / BRJ / MAX </t>
  </si>
  <si>
    <t>GMS / LRS / FRI</t>
  </si>
  <si>
    <t>CAR / ISA / RDS</t>
  </si>
  <si>
    <t>BRI / GMR / RNN</t>
  </si>
  <si>
    <t>BRJ / ISA / RNN</t>
  </si>
  <si>
    <t>SD PAULINO</t>
  </si>
  <si>
    <t>GMR / ISA / RDS</t>
  </si>
  <si>
    <t>PCN / KVN / GTR</t>
  </si>
  <si>
    <t>BMK / BRJ / RNN</t>
  </si>
  <si>
    <t>BMK / ISA / YUR</t>
  </si>
  <si>
    <t>GMS / SUG / RNT</t>
  </si>
  <si>
    <t>MCH / LRS / ELI</t>
  </si>
  <si>
    <t>HCK / BMK / YUR</t>
  </si>
  <si>
    <t>MCH / PFR / DVS</t>
  </si>
  <si>
    <t>GMR / BMK / MAX</t>
  </si>
  <si>
    <t>GMS / RCH / ELI</t>
  </si>
  <si>
    <t>DOG / RCH / DVS</t>
  </si>
  <si>
    <t>BRJ / BMK / MAX</t>
  </si>
  <si>
    <t>MED / MCH / LCN</t>
  </si>
  <si>
    <t xml:space="preserve">CFF / RCH / FRI </t>
  </si>
  <si>
    <t>MCH / BEN / LCN</t>
  </si>
  <si>
    <t>CFF / RCH / ROD</t>
  </si>
  <si>
    <t>CFF / BEN / HAK</t>
  </si>
  <si>
    <t>CFF / BEN / FRT</t>
  </si>
  <si>
    <t xml:space="preserve">CFF / BEN / RNT </t>
  </si>
  <si>
    <t>BRJ / BMK / RNN</t>
  </si>
  <si>
    <t>BRJ / KVN / RNN</t>
  </si>
  <si>
    <t>DOG / PFR / FRI</t>
  </si>
  <si>
    <t xml:space="preserve">CFF / LRS / ROD </t>
  </si>
  <si>
    <t>CFF / PFR / RNT</t>
  </si>
  <si>
    <t>HCK / KVN / RDS</t>
  </si>
  <si>
    <t>GMR / KVN / RNN</t>
  </si>
  <si>
    <t>BMK / KVN / RDS</t>
  </si>
  <si>
    <t>GMS / PFR / LCN</t>
  </si>
  <si>
    <t>JVT / ISA / RDS</t>
  </si>
  <si>
    <t>BMK / KVN / BRN</t>
  </si>
  <si>
    <t>DOG / PFR / ROD</t>
  </si>
  <si>
    <t>CFF / LRS / LCN</t>
  </si>
  <si>
    <t>HCK / ISA / BRN</t>
  </si>
  <si>
    <t>GMS / BEN / ELI</t>
  </si>
  <si>
    <t>DOG / CFF? / LCN</t>
  </si>
  <si>
    <t>CFF / BEN / FRI</t>
  </si>
  <si>
    <t>HCK / BMK / RNN</t>
  </si>
  <si>
    <t>DOG / RCH / FRT</t>
  </si>
  <si>
    <t>GMS / BEN / HAK</t>
  </si>
  <si>
    <t>BRI / CAR / RDS</t>
  </si>
  <si>
    <t>MCH / BEN / DVS</t>
  </si>
  <si>
    <t>CFF / RCH / HAK</t>
  </si>
  <si>
    <t xml:space="preserve"> JVT / KVN / RNN</t>
  </si>
  <si>
    <t>MES / MHL / BRS / DRY / MRA</t>
  </si>
  <si>
    <t>DOG / BEN / FRT</t>
  </si>
  <si>
    <t>MES / MHL / MAL/LFP/DRY/MRO</t>
  </si>
  <si>
    <t>BRJ / HCK / RDS</t>
  </si>
  <si>
    <t>SEI/LPS/MAL/LFP/DRY/MRA</t>
  </si>
  <si>
    <t>MCH / BEN / ROD</t>
  </si>
  <si>
    <t>MES / MHL / LFP / STN / PON</t>
  </si>
  <si>
    <t>MCH / LRS / LCN</t>
  </si>
  <si>
    <t>AEU / MHL / LFP / TOM</t>
  </si>
  <si>
    <t>HCK / GMR  / RDS</t>
  </si>
  <si>
    <t>AEU / MHL / MAL / DRY</t>
  </si>
  <si>
    <t>SEI / LPS / LFP / SIL</t>
  </si>
  <si>
    <t>MCH / RCH / HAK</t>
  </si>
  <si>
    <t xml:space="preserve">SD PAULINO </t>
  </si>
  <si>
    <t>JVT / KVN / RDS</t>
  </si>
  <si>
    <t>AEU / SEI / BRS / TOM</t>
  </si>
  <si>
    <t>SEI / LPS / BRS / STN</t>
  </si>
  <si>
    <t>MCH / BEN / RNT</t>
  </si>
  <si>
    <t>CAR / ISA / BRS</t>
  </si>
  <si>
    <t>SEI / LPS / MAL / MRA</t>
  </si>
  <si>
    <t>GMR / BMK / BRN</t>
  </si>
  <si>
    <t>AEU / MHL / LFP / SIL</t>
  </si>
  <si>
    <t>MCH / SUG / DVS</t>
  </si>
  <si>
    <t>AEU / MHL / MAL / PON</t>
  </si>
  <si>
    <t>DOG / BEN / ELI</t>
  </si>
  <si>
    <t>JVT / CAR / BRS</t>
  </si>
  <si>
    <t>FIA / MES / LFP / MRO</t>
  </si>
  <si>
    <t>BMK / ISA / MOR</t>
  </si>
  <si>
    <t>AEU / FIA / LFP / SIL</t>
  </si>
  <si>
    <t>HCK / KVN / BRS</t>
  </si>
  <si>
    <t>AEU / MHL / MAL / MRA</t>
  </si>
  <si>
    <t>HCK / ISA BRN</t>
  </si>
  <si>
    <t>AEU / MHL / LFP / MRO</t>
  </si>
  <si>
    <t xml:space="preserve">GMR / ISA / MOR </t>
  </si>
  <si>
    <t xml:space="preserve">AEU / MHL / LFP / MRO </t>
  </si>
  <si>
    <t>AEU / MHL / MAL / TOM</t>
  </si>
  <si>
    <t>AEU / MHL / MOR / SIL</t>
  </si>
  <si>
    <t>MCH / RCH / FRI</t>
  </si>
  <si>
    <t>BMK / ISA / BRN</t>
  </si>
  <si>
    <t>CFF / LRS / ELI</t>
  </si>
  <si>
    <t>AEU / MHL / BRS / MRO</t>
  </si>
  <si>
    <t>CAR / BMK / RDS</t>
  </si>
  <si>
    <t>SEI / LPS / BRS / RLI</t>
  </si>
  <si>
    <t>FIA / SUG / RNT</t>
  </si>
  <si>
    <t>SEI / LPS / MAL / PON</t>
  </si>
  <si>
    <t>SEI / LPS / BRS / MRA</t>
  </si>
  <si>
    <t>FIA / PFR / RNT</t>
  </si>
  <si>
    <t>JVT / KVN / CGM</t>
  </si>
  <si>
    <t>GMS / SUG / ROD</t>
  </si>
  <si>
    <t>BRJ / BMK</t>
  </si>
  <si>
    <t>CAR / KVN</t>
  </si>
  <si>
    <t>SEI / LPS / CGM / RLI</t>
  </si>
  <si>
    <t>RDS / MRO</t>
  </si>
  <si>
    <t>FRI</t>
  </si>
  <si>
    <t>AERONAVES - 2° ESQUADRÃO DE TRANSPORTE AÉREO</t>
  </si>
  <si>
    <t>SITUAÇÃO</t>
  </si>
  <si>
    <t xml:space="preserve">PRÓXIMAS INSPEÇÕES </t>
  </si>
  <si>
    <t xml:space="preserve">HORÁRIAS </t>
  </si>
  <si>
    <t>CALENDÁRICAS</t>
  </si>
  <si>
    <t>ANV</t>
  </si>
  <si>
    <t>SIT</t>
  </si>
  <si>
    <t>DPI</t>
  </si>
  <si>
    <t>OBSERVAÇÕES</t>
  </si>
  <si>
    <t>DPE</t>
  </si>
  <si>
    <t>DISP (H)</t>
  </si>
  <si>
    <t>INSP</t>
  </si>
  <si>
    <t>DISP CEL</t>
  </si>
  <si>
    <t>DISP M1</t>
  </si>
  <si>
    <t>DISP M2</t>
  </si>
  <si>
    <t>VENC</t>
  </si>
  <si>
    <t>INÍCIO</t>
  </si>
  <si>
    <t>TÉRMINO</t>
  </si>
  <si>
    <t>AVISO</t>
  </si>
  <si>
    <t>DIFRAL</t>
  </si>
  <si>
    <t>Obras no pátio BAGL. Coordenar local de pernoite com OOp 24h antes</t>
  </si>
  <si>
    <t>HTO GAP-SP e PAMA-SP indisponíveis (reforma)</t>
  </si>
  <si>
    <t>NOTAM</t>
  </si>
  <si>
    <t>SBR 217 (PIRANGI) ativada</t>
  </si>
  <si>
    <t>RWY 34R primeiros 800m e RWY 16L últimos 800m fechados devido obras</t>
  </si>
  <si>
    <t>HTO SBPV indisponível</t>
  </si>
  <si>
    <t>HT GAP-SP e PAMA-SP indisponíveis (apoio 07 de setembro)</t>
  </si>
  <si>
    <t>SBR-228 (PUNAU) ativada</t>
  </si>
  <si>
    <t>HTO BACG lotação máxima em apoio a ÁGATA OESTE</t>
  </si>
  <si>
    <t>Primeiros 800m da 34R e últimos 800m 16L fechados por motivo de obras. Diariamente das 1100Z às 1900Z</t>
  </si>
  <si>
    <t>Últimos 200m da 16L fechados devido instalação de RAG</t>
  </si>
  <si>
    <t>Antes de missões para FN, enviar Rela Pax e OMIS para o CMT do DTCEA</t>
  </si>
  <si>
    <t>Cheque do radar secundário GCC / PAR pelo GEIV a partir de 16Z - 22/01</t>
  </si>
  <si>
    <t>Acesso restrito ao pátio da BAFL; coordenação prévia junto a SCOAM-FL</t>
  </si>
  <si>
    <t>Restrição de pátio da BAPV; coordenar pernoite 24h antes com OOp</t>
  </si>
  <si>
    <t>Pátio de SBAF fechado das 0800Z às 1700Z.</t>
  </si>
  <si>
    <t>HT CPBV com restrição de hospedagem (17/03 a 30/09)</t>
  </si>
  <si>
    <t>Acesso restrito ao pátio da BAFL (21/03); coordenação prévia junto a SCOAM-FL</t>
  </si>
  <si>
    <t>HT GUARNAE-GW indisponível (23/03 a 28/03)</t>
  </si>
  <si>
    <t>Cmdts Anv: chamado antecipado ao OOP-SV para QAV (contrato prevê 30min)</t>
  </si>
  <si>
    <t>Pátios BAGL disp apenas para anvs LAAD (30/03 a 06/04); OOP-GL 24h antes</t>
  </si>
  <si>
    <t>Sistema UNA indisp (12/04, das 09h00 às 14h00 local)</t>
  </si>
  <si>
    <t>HTs BASC indisponíveis (15/04 a 24/04)</t>
  </si>
  <si>
    <t>Pátios BASC disp apenas para anvs RAC (17/04 a 24/04); SCOAM-SC 48h antes</t>
  </si>
  <si>
    <t>HT GUARNAE-GW indisponível (16/06 a 19/06)</t>
  </si>
  <si>
    <t>Pátios BAAN apenas para anvs AIRLIFT (23/05 a 06/06); SCOAM-AN 48h antes</t>
  </si>
  <si>
    <t>Pátios BAFL disp apenas para anvs RAP (21/05 a 24/05); SCOAM-FL 48h antes</t>
  </si>
  <si>
    <t>Devido obras no Aeroporto, Cmdts Anv agendar comb 24h antes com OOp SV</t>
  </si>
  <si>
    <t>Pátios BAGL disp apenas para anvs BRICs (05/07 a 08/07); exceto TOTEQ/EVAM</t>
  </si>
  <si>
    <t>Pátio BAAF operações suspensas (11/06 a 12/06) - aniversário CAN</t>
  </si>
  <si>
    <t>Operação noturna com cautela no pátio 2 da BASV devido a baixa luminosidade</t>
  </si>
  <si>
    <t>Obras no pátio BABE. Coordenar estacionamento ou pernoite com OCC 24h antes.</t>
  </si>
  <si>
    <t>Acesso pátio BAFL interditado (15/07 a 05/09); apoio de solo SCOAM-FL 48h antes</t>
  </si>
  <si>
    <t>Pátio militar BACG disp apenas para TÀPIO (29/07 a 16/08); SCOAM-CG 48h antes</t>
  </si>
  <si>
    <t>HT BACG indisponível (31/07 a 16/08)</t>
  </si>
  <si>
    <t>HT BACG indisponível (28/08 a 08/09)</t>
  </si>
  <si>
    <t>Ativação área restrita SBR-215 (27/08 a 29/08, das 1100Z às 2000Z)</t>
  </si>
  <si>
    <t>HT EPCAr indisponível (24/09 a 04/10)</t>
  </si>
  <si>
    <t>Pátio militar BABV disp apenas para NUNTIUS (28/09 a 12/10); OPO-BV 48h antes</t>
  </si>
  <si>
    <t>HT GUARNAE-GW indisponível (26/11 a 30/11)</t>
  </si>
  <si>
    <t>Pátios BACO restrito para Portões Abertos (11/10 a 12/10); SCOAM-CO 72h antes</t>
  </si>
  <si>
    <t>HT GUARNAE-GW indisponível (15/09 a 19/09) devido à alta demanda</t>
  </si>
  <si>
    <t>HTO GAP-SP e PAMA-SP indisponíveis (25/09 a 28/09) devido ao Domingo Aéreo</t>
  </si>
  <si>
    <t>Pátio PAMA-SP interditado (20/09 a 22/09) devido realização de atividades programadas</t>
  </si>
  <si>
    <t>SBIZ e SBJV temporariamente sem cobertura contratual de abastecimento QAV</t>
  </si>
  <si>
    <t>Pátio opr BASM disp apenas para EXPOAER (10/10 a 11/10); SCOAM-SM 48h antes</t>
  </si>
  <si>
    <t>HT BABV indisponível (15/09 a 15/10)</t>
  </si>
  <si>
    <t>Pátio BABE indisp; operação mediante aquisição de slot com CGNA (trânsito apenas)</t>
  </si>
  <si>
    <t>HT LS baixa disponibilidade (06/12 a 07/12), reserva com antecedência</t>
  </si>
  <si>
    <t>D</t>
  </si>
  <si>
    <t>QUADRO DE VOO - PASTOR</t>
  </si>
  <si>
    <t>SALDOS ESFORÇO AÉREO</t>
  </si>
  <si>
    <t>C-95M</t>
  </si>
  <si>
    <t>C97</t>
  </si>
  <si>
    <t>C98</t>
  </si>
  <si>
    <t/>
  </si>
  <si>
    <t>PAU DE SEBO</t>
  </si>
  <si>
    <t>LOCAIS</t>
  </si>
  <si>
    <t>GERAL</t>
  </si>
  <si>
    <t>ADAPTAÇÃO</t>
  </si>
  <si>
    <t>TRIP / MILITAR</t>
  </si>
  <si>
    <t>Aviso Operacionais</t>
  </si>
  <si>
    <t>Disp (H)</t>
  </si>
  <si>
    <t>Observações</t>
  </si>
  <si>
    <t>DEMANDAS CCON - 2° ESQUADRÃO DE TRANSPORTE AÉREO</t>
  </si>
  <si>
    <t>C-95 BANDEIRANTE</t>
  </si>
  <si>
    <t>PRIORIDADE</t>
  </si>
  <si>
    <t>TRIPULANTE</t>
  </si>
  <si>
    <t>MISSÃO</t>
  </si>
  <si>
    <t>DATA CCON</t>
  </si>
  <si>
    <t>DATA PREVISTA</t>
  </si>
  <si>
    <t>OBSERVAÇÕES GERAIS C-95</t>
  </si>
  <si>
    <t>1T Dias</t>
  </si>
  <si>
    <t>CFI e CVI</t>
  </si>
  <si>
    <t>Escalar CFI-2 ALV e DIA. Se possível, escalar o CFI3 de pelo menos um dos dois.
(OFRAG): Conforme pau de sebo e período para desadaptação.
(SBV): PO+PB, conforme disponibilidades pessoais.</t>
  </si>
  <si>
    <t>1T Alves</t>
  </si>
  <si>
    <t>1T Silveira</t>
  </si>
  <si>
    <t>AGD</t>
  </si>
  <si>
    <t>C-97 BRASÍLIA</t>
  </si>
  <si>
    <t>TC Sousa</t>
  </si>
  <si>
    <t>OBSERVAÇÕES GERAIS C-97</t>
  </si>
  <si>
    <t>1T Abreu</t>
  </si>
  <si>
    <t>Escalar local #1 e #2 do SOU.
(OFRAG): a) IN+AEU (revalidação de CVI);
b) IN + GAM/MED (cheque de PO).
(SBV): IN + GAM/MED (o que não for escalado para a OFRAG)</t>
  </si>
  <si>
    <t>C-98 CARAVAN</t>
  </si>
  <si>
    <t>Mj Juliana França</t>
  </si>
  <si>
    <t>CFI #2</t>
  </si>
  <si>
    <t>Realizar com DUQ</t>
  </si>
  <si>
    <t>OBSERVAÇÕES GERAIS C-98</t>
  </si>
  <si>
    <t>1T Souza</t>
  </si>
  <si>
    <t>(OFRAG): MPL na próxima rota é prioridade; 
                 Caso de indisponibilidade de MPO, escalar outro AL com IN nesta semana;
                 Prioridades de IN: AGU, DUQ, DAV.
                 Não escalar MED e NGA (rota) nos próximos 15 DIAS, apenas se for desadaptar;
                 Prioridades de AL: MPL, demais, conforme contagem regressiva para PB;
(SBV): 1 - ROL, AGU, DAV + 2 - TRA, VNA</t>
  </si>
  <si>
    <t>1T Thiago</t>
  </si>
  <si>
    <t>CPT #2</t>
  </si>
  <si>
    <t>Fazer junto com o Local</t>
  </si>
  <si>
    <t>Links</t>
  </si>
  <si>
    <t>Banco de Dados Tripulantes 2025</t>
  </si>
  <si>
    <t>Disponibilidade Escala 2025</t>
  </si>
  <si>
    <t>Adaptação SOP 2025</t>
  </si>
  <si>
    <t>PLANILHÃO ESTATÍSTICA 2025</t>
  </si>
  <si>
    <t>DISPONIBILIDADE DE ANVS GLOG-NT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</si>
</sst>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[HH]:MM"/>
    <numFmt numFmtId="165" formatCode="dddd, dd/mm/yyyy"/>
    <numFmt numFmtId="166" formatCode="dd/MM/yyyy"/>
    <numFmt numFmtId="167" formatCode="[hh]&quot;:&quot;mm"/>
    <numFmt numFmtId="168" formatCode="dd/mm/yyyy"/>
    <numFmt numFmtId="169" formatCode="hh:mm"/>
    <numFmt numFmtId="170" formatCode="mm/yyyy"/>
    <numFmt numFmtId="171" formatCode="dddd&quot;, &quot;dd&quot;/&quot;mm&quot;/&quot;yyyy"/>
    <numFmt numFmtId="172" formatCode="dd&quot;/&quot;mm&quot;/&quot;yy"/>
    <numFmt numFmtId="173" formatCode="d&quot; de &quot;mmmm&quot;, &quot;hh&quot;:&quot;mm"/>
  </numFmts>
  <fonts count="36">
    <font>
      <sz val="10.0"/>
      <color rgb="FF000000"/>
      <name val="Arial"/>
      <scheme val="minor"/>
    </font>
    <font>
      <color theme="1"/>
      <name val="Arial"/>
      <scheme val="minor"/>
    </font>
    <font>
      <b/>
      <sz val="20.0"/>
      <color rgb="FFFFFFFF"/>
      <name val="Oswald"/>
    </font>
    <font>
      <sz val="12.0"/>
      <color rgb="FFFFFFFF"/>
      <name val="Oswald"/>
    </font>
    <font>
      <b/>
      <sz val="18.0"/>
      <color rgb="FFFFFFFF"/>
      <name val="Oswald"/>
    </font>
    <font>
      <b/>
      <sz val="10.0"/>
      <color rgb="FFFFFFFF"/>
      <name val="Oswald"/>
    </font>
    <font>
      <b/>
      <sz val="11.0"/>
      <color rgb="FFFFFFFF"/>
      <name val="Oswald"/>
    </font>
    <font>
      <sz val="10.0"/>
      <color rgb="FFFFFFFF"/>
      <name val="Oswald"/>
    </font>
    <font>
      <color rgb="FFE9F0F6"/>
      <name val="Oswald"/>
    </font>
    <font>
      <sz val="10.0"/>
      <color rgb="FFE9F0F6"/>
      <name val="Oswald"/>
    </font>
    <font>
      <color rgb="FFFFFFFF"/>
      <name val="Arial"/>
      <scheme val="minor"/>
    </font>
    <font>
      <sz val="15.0"/>
      <color theme="1"/>
      <name val="Arial"/>
      <scheme val="minor"/>
    </font>
    <font>
      <sz val="15.0"/>
      <color rgb="FFE9F0F6"/>
      <name val="Oswald"/>
    </font>
    <font>
      <sz val="12.0"/>
      <color rgb="FFE9F0F6"/>
      <name val="Oswald"/>
    </font>
    <font>
      <sz val="10.0"/>
      <color theme="1"/>
      <name val="Arial"/>
      <scheme val="minor"/>
    </font>
    <font>
      <sz val="11.0"/>
      <color theme="1"/>
      <name val="Arial"/>
      <scheme val="minor"/>
    </font>
    <font>
      <b/>
      <sz val="10.0"/>
      <color theme="1"/>
      <name val="Arial"/>
      <scheme val="minor"/>
    </font>
    <font>
      <b/>
      <sz val="11.0"/>
      <color theme="1"/>
      <name val="Arial"/>
      <scheme val="minor"/>
    </font>
    <font/>
    <font>
      <b/>
      <color theme="1"/>
      <name val="Arial"/>
      <scheme val="minor"/>
    </font>
    <font>
      <b/>
      <sz val="10.0"/>
      <color theme="1"/>
      <name val="Arial"/>
    </font>
    <font>
      <sz val="11.0"/>
      <color theme="1"/>
      <name val="Arial"/>
    </font>
    <font>
      <sz val="10.0"/>
      <color theme="1"/>
      <name val="Arial"/>
    </font>
    <font>
      <b/>
      <sz val="11.0"/>
      <color theme="1"/>
      <name val="Arial"/>
    </font>
    <font>
      <sz val="9.0"/>
      <color theme="1"/>
      <name val="Arial"/>
      <scheme val="minor"/>
    </font>
    <font>
      <color rgb="FF000000"/>
      <name val="Arial"/>
    </font>
    <font>
      <color theme="1"/>
      <name val="Arial"/>
    </font>
    <font>
      <b/>
      <i/>
      <sz val="28.0"/>
      <color rgb="FFFFFFFF"/>
      <name val="Arial"/>
      <scheme val="minor"/>
    </font>
    <font>
      <b/>
      <color rgb="FFFFFFFF"/>
      <name val="Arial"/>
      <scheme val="minor"/>
    </font>
    <font>
      <color rgb="FF000000"/>
      <name val="Arial"/>
      <scheme val="minor"/>
    </font>
    <font>
      <b/>
      <color theme="1"/>
      <name val="Arial"/>
    </font>
    <font>
      <b/>
      <sz val="12.0"/>
      <color rgb="FFFFFFFF"/>
      <name val="Arial"/>
      <scheme val="minor"/>
    </font>
    <font>
      <b/>
      <sz val="9.0"/>
      <color theme="1"/>
      <name val="Arial"/>
      <scheme val="minor"/>
    </font>
    <font>
      <sz val="12.0"/>
      <color theme="1"/>
      <name val="Arial"/>
      <scheme val="minor"/>
    </font>
    <font>
      <b/>
      <color rgb="FFFFFFFF"/>
      <name val="Arial"/>
    </font>
    <font>
      <u/>
      <color theme="1"/>
      <name val="Arial"/>
      <scheme val="minor"/>
    </font>
  </fonts>
  <fills count="21">
    <fill>
      <patternFill patternType="none"/>
    </fill>
    <fill>
      <patternFill patternType="lightGray"/>
    </fill>
    <fill>
      <patternFill patternType="solid">
        <fgColor rgb="FF071A2B"/>
        <bgColor rgb="FF071A2B"/>
      </patternFill>
    </fill>
    <fill>
      <patternFill patternType="solid">
        <fgColor rgb="FF1F4E78"/>
        <bgColor rgb="FF1F4E78"/>
      </patternFill>
    </fill>
    <fill>
      <patternFill patternType="solid">
        <fgColor rgb="FF2E7FAF"/>
        <bgColor rgb="FF2E7FAF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CC4125"/>
        <bgColor rgb="FFCC4125"/>
      </patternFill>
    </fill>
    <fill>
      <patternFill patternType="solid">
        <fgColor rgb="FF8E7CC3"/>
        <bgColor rgb="FF8E7CC3"/>
      </patternFill>
    </fill>
    <fill>
      <patternFill patternType="solid">
        <fgColor rgb="FFFFD966"/>
        <bgColor rgb="FFFFD966"/>
      </patternFill>
    </fill>
    <fill>
      <patternFill patternType="solid">
        <fgColor rgb="FF6AA84F"/>
        <bgColor rgb="FF6AA84F"/>
      </patternFill>
    </fill>
    <fill>
      <patternFill patternType="solid">
        <fgColor rgb="FFDD7E6B"/>
        <bgColor rgb="FFDD7E6B"/>
      </patternFill>
    </fill>
    <fill>
      <patternFill patternType="solid">
        <fgColor rgb="FFC27BA0"/>
        <bgColor rgb="FFC27BA0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theme="4"/>
        <bgColor theme="4"/>
      </patternFill>
    </fill>
    <fill>
      <patternFill patternType="solid">
        <fgColor theme="5"/>
        <bgColor theme="5"/>
      </patternFill>
    </fill>
    <fill>
      <patternFill patternType="solid">
        <fgColor rgb="FF6D9EEB"/>
        <bgColor rgb="FF6D9EEB"/>
      </patternFill>
    </fill>
    <fill>
      <patternFill patternType="solid">
        <fgColor rgb="FF9FC5E8"/>
        <bgColor rgb="FF9FC5E8"/>
      </patternFill>
    </fill>
    <fill>
      <patternFill patternType="solid">
        <fgColor rgb="FF93C47D"/>
        <bgColor rgb="FF93C47D"/>
      </patternFill>
    </fill>
  </fills>
  <borders count="14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999999"/>
      </bottom>
    </border>
  </borders>
  <cellStyleXfs count="1">
    <xf borderId="0" fillId="0" fontId="0" numFmtId="0" applyAlignment="1" applyFont="1"/>
  </cellStyleXfs>
  <cellXfs count="21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2" numFmtId="0" xfId="0" applyAlignment="1" applyFont="1">
      <alignment horizontal="center" readingOrder="0" vertical="center"/>
    </xf>
    <xf borderId="0" fillId="3" fontId="3" numFmtId="0" xfId="0" applyAlignment="1" applyFill="1" applyFont="1">
      <alignment horizontal="center" readingOrder="0" vertical="center"/>
    </xf>
    <xf borderId="0" fillId="3" fontId="4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6" numFmtId="0" xfId="0" applyAlignment="1" applyFont="1">
      <alignment horizontal="center" readingOrder="0" vertical="center"/>
    </xf>
    <xf borderId="0" fillId="3" fontId="7" numFmtId="0" xfId="0" applyAlignment="1" applyFont="1">
      <alignment horizontal="center" readingOrder="0" vertical="center"/>
    </xf>
    <xf borderId="0" fillId="4" fontId="8" numFmtId="0" xfId="0" applyAlignment="1" applyFill="1" applyFont="1">
      <alignment horizontal="center" shrinkToFit="0" vertical="top" wrapText="1"/>
    </xf>
    <xf borderId="0" fillId="4" fontId="8" numFmtId="0" xfId="0" applyAlignment="1" applyFont="1">
      <alignment horizontal="left" readingOrder="0" vertical="center"/>
    </xf>
    <xf borderId="0" fillId="4" fontId="9" numFmtId="164" xfId="0" applyAlignment="1" applyFont="1" applyNumberFormat="1">
      <alignment horizontal="center" readingOrder="0" vertical="center"/>
    </xf>
    <xf borderId="0" fillId="4" fontId="9" numFmtId="0" xfId="0" applyAlignment="1" applyFont="1">
      <alignment horizontal="center" readingOrder="0" shrinkToFit="0" vertical="top" wrapText="1"/>
    </xf>
    <xf borderId="0" fillId="4" fontId="8" numFmtId="0" xfId="0" applyAlignment="1" applyFont="1">
      <alignment horizontal="left" readingOrder="0" shrinkToFit="0" vertical="center" wrapText="1"/>
    </xf>
    <xf borderId="0" fillId="4" fontId="8" numFmtId="0" xfId="0" applyAlignment="1" applyFont="1">
      <alignment horizontal="center" readingOrder="0" shrinkToFit="0" vertical="center" wrapText="1"/>
    </xf>
    <xf borderId="0" fillId="2" fontId="10" numFmtId="0" xfId="0" applyAlignment="1" applyFont="1">
      <alignment horizontal="center" readingOrder="0"/>
    </xf>
    <xf borderId="0" fillId="4" fontId="11" numFmtId="0" xfId="0" applyAlignment="1" applyFont="1">
      <alignment readingOrder="0" vertical="center"/>
    </xf>
    <xf borderId="0" fillId="4" fontId="12" numFmtId="0" xfId="0" applyAlignment="1" applyFont="1">
      <alignment horizontal="center" readingOrder="0" vertical="bottom"/>
    </xf>
    <xf borderId="0" fillId="4" fontId="13" numFmtId="164" xfId="0" applyAlignment="1" applyFont="1" applyNumberFormat="1">
      <alignment horizontal="center" readingOrder="0" vertical="center"/>
    </xf>
    <xf borderId="0" fillId="3" fontId="1" numFmtId="0" xfId="0" applyAlignment="1" applyFont="1">
      <alignment readingOrder="0"/>
    </xf>
    <xf borderId="0" fillId="3" fontId="6" numFmtId="165" xfId="0" applyAlignment="1" applyFont="1" applyNumberFormat="1">
      <alignment horizontal="center" readingOrder="0" vertical="center"/>
    </xf>
    <xf borderId="0" fillId="4" fontId="9" numFmtId="0" xfId="0" applyAlignment="1" applyFont="1">
      <alignment horizontal="center" readingOrder="0" vertical="center"/>
    </xf>
    <xf borderId="0" fillId="2" fontId="7" numFmtId="0" xfId="0" applyAlignment="1" applyFont="1">
      <alignment horizontal="left" readingOrder="0" vertical="center"/>
    </xf>
    <xf borderId="0" fillId="4" fontId="9" numFmtId="166" xfId="0" applyAlignment="1" applyFont="1" applyNumberFormat="1">
      <alignment horizontal="center" readingOrder="0" vertical="center"/>
    </xf>
    <xf borderId="0" fillId="4" fontId="9" numFmtId="46" xfId="0" applyAlignment="1" applyFont="1" applyNumberFormat="1">
      <alignment horizontal="center" readingOrder="0" vertical="center"/>
    </xf>
    <xf borderId="0" fillId="2" fontId="1" numFmtId="0" xfId="0" applyFont="1"/>
    <xf borderId="0" fillId="2" fontId="14" numFmtId="0" xfId="0" applyAlignment="1" applyFont="1">
      <alignment horizontal="center" readingOrder="0"/>
    </xf>
    <xf borderId="0" fillId="2" fontId="15" numFmtId="0" xfId="0" applyAlignment="1" applyFont="1">
      <alignment horizontal="center" readingOrder="0"/>
    </xf>
    <xf borderId="0" fillId="2" fontId="15" numFmtId="167" xfId="0" applyAlignment="1" applyFont="1" applyNumberFormat="1">
      <alignment horizontal="center" readingOrder="0"/>
    </xf>
    <xf borderId="1" fillId="5" fontId="16" numFmtId="0" xfId="0" applyAlignment="1" applyBorder="1" applyFill="1" applyFont="1">
      <alignment horizontal="center" readingOrder="0" vertical="center"/>
    </xf>
    <xf borderId="2" fillId="5" fontId="17" numFmtId="0" xfId="0" applyAlignment="1" applyBorder="1" applyFont="1">
      <alignment horizontal="center" readingOrder="0" vertical="center"/>
    </xf>
    <xf borderId="2" fillId="0" fontId="18" numFmtId="0" xfId="0" applyBorder="1" applyFont="1"/>
    <xf borderId="2" fillId="5" fontId="16" numFmtId="0" xfId="0" applyAlignment="1" applyBorder="1" applyFont="1">
      <alignment horizontal="center" readingOrder="0" vertical="center"/>
    </xf>
    <xf borderId="2" fillId="5" fontId="17" numFmtId="167" xfId="0" applyAlignment="1" applyBorder="1" applyFont="1" applyNumberFormat="1">
      <alignment horizontal="center" readingOrder="0" vertical="center"/>
    </xf>
    <xf borderId="2" fillId="5" fontId="19" numFmtId="0" xfId="0" applyAlignment="1" applyBorder="1" applyFont="1">
      <alignment horizontal="center" readingOrder="0" vertical="center"/>
    </xf>
    <xf borderId="3" fillId="0" fontId="18" numFmtId="0" xfId="0" applyBorder="1" applyFont="1"/>
    <xf borderId="0" fillId="2" fontId="19" numFmtId="0" xfId="0" applyAlignment="1" applyFont="1">
      <alignment horizontal="center" readingOrder="0" vertical="center"/>
    </xf>
    <xf borderId="4" fillId="6" fontId="16" numFmtId="0" xfId="0" applyAlignment="1" applyBorder="1" applyFill="1" applyFont="1">
      <alignment horizontal="center" readingOrder="0" shrinkToFit="0" vertical="center" wrapText="1"/>
    </xf>
    <xf borderId="0" fillId="6" fontId="17" numFmtId="168" xfId="0" applyAlignment="1" applyFont="1" applyNumberFormat="1">
      <alignment horizontal="center" readingOrder="0" shrinkToFit="0" vertical="center" wrapText="1"/>
    </xf>
    <xf borderId="0" fillId="7" fontId="15" numFmtId="169" xfId="0" applyAlignment="1" applyFill="1" applyFont="1" applyNumberFormat="1">
      <alignment horizontal="center" readingOrder="0" shrinkToFit="0" vertical="center" wrapText="1"/>
    </xf>
    <xf borderId="0" fillId="7" fontId="14" numFmtId="0" xfId="0" applyAlignment="1" applyFont="1">
      <alignment horizontal="center" readingOrder="0" shrinkToFit="0" vertical="center" wrapText="1"/>
    </xf>
    <xf borderId="0" fillId="7" fontId="15" numFmtId="167" xfId="0" applyAlignment="1" applyFont="1" applyNumberFormat="1">
      <alignment horizontal="center" readingOrder="0" shrinkToFit="0" vertical="center" wrapText="1"/>
    </xf>
    <xf borderId="0" fillId="7" fontId="14" numFmtId="49" xfId="0" applyAlignment="1" applyFont="1" applyNumberFormat="1">
      <alignment horizontal="center" readingOrder="0" shrinkToFit="0" vertical="center" wrapText="1"/>
    </xf>
    <xf borderId="0" fillId="7" fontId="17" numFmtId="0" xfId="0" applyAlignment="1" applyFont="1">
      <alignment horizontal="center" readingOrder="0" shrinkToFit="0" vertical="center" wrapText="1"/>
    </xf>
    <xf borderId="0" fillId="7" fontId="15" numFmtId="0" xfId="0" applyAlignment="1" applyFont="1">
      <alignment horizontal="center" readingOrder="0" shrinkToFit="0" vertical="center" wrapText="1"/>
    </xf>
    <xf borderId="0" fillId="7" fontId="16" numFmtId="0" xfId="0" applyAlignment="1" applyFont="1">
      <alignment horizontal="center" readingOrder="0" shrinkToFit="0" vertical="center" wrapText="1"/>
    </xf>
    <xf borderId="5" fillId="0" fontId="18" numFmtId="0" xfId="0" applyBorder="1" applyFont="1"/>
    <xf quotePrefix="1" borderId="0" fillId="7" fontId="14" numFmtId="0" xfId="0" applyAlignment="1" applyFont="1">
      <alignment horizontal="center" readingOrder="0" shrinkToFit="0" vertical="center" wrapText="1"/>
    </xf>
    <xf quotePrefix="1" borderId="0" fillId="7" fontId="14" numFmtId="49" xfId="0" applyAlignment="1" applyFont="1" applyNumberFormat="1">
      <alignment horizontal="center" readingOrder="0" shrinkToFit="0" vertical="center" wrapText="1"/>
    </xf>
    <xf borderId="4" fillId="6" fontId="20" numFmtId="0" xfId="0" applyAlignment="1" applyBorder="1" applyFont="1">
      <alignment horizontal="center" shrinkToFit="0" wrapText="1"/>
    </xf>
    <xf borderId="0" fillId="7" fontId="21" numFmtId="169" xfId="0" applyAlignment="1" applyFont="1" applyNumberFormat="1">
      <alignment horizontal="center" readingOrder="0" shrinkToFit="0" wrapText="1"/>
    </xf>
    <xf borderId="0" fillId="7" fontId="22" numFmtId="0" xfId="0" applyAlignment="1" applyFont="1">
      <alignment horizontal="center" readingOrder="0" shrinkToFit="0" wrapText="1"/>
    </xf>
    <xf borderId="0" fillId="7" fontId="21" numFmtId="167" xfId="0" applyAlignment="1" applyFont="1" applyNumberFormat="1">
      <alignment horizontal="center" readingOrder="0" shrinkToFit="0" wrapText="1"/>
    </xf>
    <xf borderId="0" fillId="7" fontId="22" numFmtId="49" xfId="0" applyAlignment="1" applyFont="1" applyNumberFormat="1">
      <alignment horizontal="center" shrinkToFit="0" wrapText="1"/>
    </xf>
    <xf borderId="0" fillId="0" fontId="23" numFmtId="0" xfId="0" applyAlignment="1" applyFont="1">
      <alignment horizontal="center" shrinkToFit="0" wrapText="1"/>
    </xf>
    <xf borderId="0" fillId="7" fontId="21" numFmtId="0" xfId="0" applyAlignment="1" applyFont="1">
      <alignment horizontal="center" shrinkToFit="0" wrapText="1"/>
    </xf>
    <xf quotePrefix="1" borderId="0" fillId="7" fontId="15" numFmtId="167" xfId="0" applyAlignment="1" applyFont="1" applyNumberFormat="1">
      <alignment horizontal="center" readingOrder="0" shrinkToFit="0" vertical="center" wrapText="1"/>
    </xf>
    <xf borderId="0" fillId="7" fontId="14" numFmtId="170" xfId="0" applyAlignment="1" applyFont="1" applyNumberFormat="1">
      <alignment horizontal="center" readingOrder="0" shrinkToFit="0" vertical="center" wrapText="1"/>
    </xf>
    <xf borderId="0" fillId="2" fontId="1" numFmtId="0" xfId="0" applyAlignment="1" applyFont="1">
      <alignment readingOrder="0"/>
    </xf>
    <xf borderId="0" fillId="8" fontId="14" numFmtId="49" xfId="0" applyAlignment="1" applyFill="1" applyFont="1" applyNumberFormat="1">
      <alignment horizontal="center" readingOrder="0" shrinkToFit="0" vertical="center" wrapText="1"/>
    </xf>
    <xf borderId="0" fillId="9" fontId="14" numFmtId="49" xfId="0" applyAlignment="1" applyFill="1" applyFont="1" applyNumberFormat="1">
      <alignment horizontal="center" readingOrder="0" shrinkToFit="0" vertical="center" wrapText="1"/>
    </xf>
    <xf borderId="0" fillId="10" fontId="14" numFmtId="49" xfId="0" applyAlignment="1" applyFill="1" applyFont="1" applyNumberFormat="1">
      <alignment horizontal="center" readingOrder="0" shrinkToFit="0" vertical="center" wrapText="1"/>
    </xf>
    <xf borderId="0" fillId="11" fontId="14" numFmtId="49" xfId="0" applyAlignment="1" applyFill="1" applyFont="1" applyNumberFormat="1">
      <alignment horizontal="center" readingOrder="0" shrinkToFit="0" vertical="center" wrapText="1"/>
    </xf>
    <xf borderId="0" fillId="12" fontId="14" numFmtId="49" xfId="0" applyAlignment="1" applyFill="1" applyFont="1" applyNumberFormat="1">
      <alignment horizontal="center" readingOrder="0" shrinkToFit="0" vertical="center" wrapText="1"/>
    </xf>
    <xf borderId="0" fillId="7" fontId="24" numFmtId="0" xfId="0" applyAlignment="1" applyFont="1">
      <alignment horizontal="center" readingOrder="0" shrinkToFit="0" vertical="center" wrapText="1"/>
    </xf>
    <xf borderId="0" fillId="13" fontId="14" numFmtId="49" xfId="0" applyAlignment="1" applyFill="1" applyFont="1" applyNumberFormat="1">
      <alignment horizontal="center" readingOrder="0" shrinkToFit="0" vertical="center" wrapText="1"/>
    </xf>
    <xf borderId="0" fillId="14" fontId="19" numFmtId="0" xfId="0" applyAlignment="1" applyFill="1" applyFont="1">
      <alignment horizontal="right" readingOrder="0" vertical="center"/>
    </xf>
    <xf borderId="0" fillId="14" fontId="19" numFmtId="171" xfId="0" applyAlignment="1" applyFont="1" applyNumberFormat="1">
      <alignment horizontal="right" readingOrder="0" vertical="center"/>
    </xf>
    <xf borderId="0" fillId="14" fontId="19" numFmtId="0" xfId="0" applyAlignment="1" applyFont="1">
      <alignment horizontal="center" readingOrder="0"/>
    </xf>
    <xf borderId="0" fillId="5" fontId="19" numFmtId="171" xfId="0" applyAlignment="1" applyFont="1" applyNumberFormat="1">
      <alignment horizontal="right" readingOrder="0" vertical="center"/>
    </xf>
    <xf borderId="0" fillId="5" fontId="19" numFmtId="0" xfId="0" applyAlignment="1" applyFont="1">
      <alignment horizontal="center" readingOrder="0"/>
    </xf>
    <xf borderId="0" fillId="14" fontId="16" numFmtId="171" xfId="0" applyAlignment="1" applyFont="1" applyNumberFormat="1">
      <alignment horizontal="right" readingOrder="0" vertical="center"/>
    </xf>
    <xf borderId="0" fillId="15" fontId="16" numFmtId="171" xfId="0" applyAlignment="1" applyFill="1" applyFont="1" applyNumberFormat="1">
      <alignment horizontal="right" readingOrder="0" vertical="center"/>
    </xf>
    <xf borderId="0" fillId="0" fontId="14" numFmtId="0" xfId="0" applyAlignment="1" applyFont="1">
      <alignment horizontal="center" readingOrder="0"/>
    </xf>
    <xf borderId="0" fillId="0" fontId="14" numFmtId="0" xfId="0" applyAlignment="1" applyFont="1">
      <alignment horizontal="center"/>
    </xf>
    <xf borderId="0" fillId="14" fontId="1" numFmtId="0" xfId="0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center"/>
    </xf>
    <xf borderId="0" fillId="14" fontId="1" numFmtId="0" xfId="0" applyAlignment="1" applyFont="1">
      <alignment readingOrder="0"/>
    </xf>
    <xf borderId="0" fillId="7" fontId="25" numFmtId="0" xfId="0" applyAlignment="1" applyFont="1">
      <alignment horizontal="center" readingOrder="0"/>
    </xf>
    <xf borderId="0" fillId="0" fontId="26" numFmtId="0" xfId="0" applyAlignment="1" applyFont="1">
      <alignment horizontal="center" vertical="bottom"/>
    </xf>
    <xf borderId="0" fillId="0" fontId="26" numFmtId="0" xfId="0" applyAlignment="1" applyFont="1">
      <alignment horizontal="center" readingOrder="0" vertical="bottom"/>
    </xf>
    <xf borderId="0" fillId="14" fontId="1" numFmtId="0" xfId="0" applyAlignment="1" applyFont="1">
      <alignment horizontal="center"/>
    </xf>
    <xf borderId="0" fillId="14" fontId="1" numFmtId="0" xfId="0" applyAlignment="1" applyFont="1">
      <alignment horizontal="center" readingOrder="0"/>
    </xf>
    <xf borderId="0" fillId="16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17" fontId="1" numFmtId="0" xfId="0" applyAlignment="1" applyFill="1" applyFont="1">
      <alignment horizontal="center" readingOrder="0"/>
    </xf>
    <xf borderId="0" fillId="6" fontId="1" numFmtId="0" xfId="0" applyAlignment="1" applyFont="1">
      <alignment horizontal="center"/>
    </xf>
    <xf borderId="0" fillId="6" fontId="1" numFmtId="0" xfId="0" applyFont="1"/>
    <xf borderId="0" fillId="14" fontId="27" numFmtId="0" xfId="0" applyAlignment="1" applyFont="1">
      <alignment horizontal="center" readingOrder="0" vertical="center"/>
    </xf>
    <xf borderId="0" fillId="14" fontId="28" numFmtId="0" xfId="0" applyAlignment="1" applyFont="1">
      <alignment horizontal="center" readingOrder="0"/>
    </xf>
    <xf borderId="0" fillId="14" fontId="1" numFmtId="0" xfId="0" applyAlignment="1" applyFont="1">
      <alignment horizontal="center" readingOrder="0" vertical="center"/>
    </xf>
    <xf borderId="1" fillId="5" fontId="16" numFmtId="0" xfId="0" applyAlignment="1" applyBorder="1" applyFont="1">
      <alignment horizontal="center" vertical="center"/>
    </xf>
    <xf borderId="6" fillId="5" fontId="16" numFmtId="46" xfId="0" applyAlignment="1" applyBorder="1" applyFont="1" applyNumberFormat="1">
      <alignment horizontal="center" vertical="center"/>
    </xf>
    <xf borderId="7" fillId="0" fontId="18" numFmtId="0" xfId="0" applyBorder="1" applyFont="1"/>
    <xf borderId="8" fillId="0" fontId="18" numFmtId="0" xfId="0" applyBorder="1" applyFont="1"/>
    <xf borderId="0" fillId="14" fontId="1" numFmtId="0" xfId="0" applyAlignment="1" applyFont="1">
      <alignment horizontal="center" vertical="center"/>
    </xf>
    <xf borderId="9" fillId="0" fontId="18" numFmtId="0" xfId="0" applyBorder="1" applyFont="1"/>
    <xf borderId="10" fillId="0" fontId="18" numFmtId="0" xfId="0" applyBorder="1" applyFont="1"/>
    <xf borderId="11" fillId="0" fontId="18" numFmtId="0" xfId="0" applyBorder="1" applyFont="1"/>
    <xf borderId="6" fillId="5" fontId="16" numFmtId="166" xfId="0" applyAlignment="1" applyBorder="1" applyFont="1" applyNumberFormat="1">
      <alignment horizontal="center" vertical="center"/>
    </xf>
    <xf borderId="12" fillId="5" fontId="19" numFmtId="0" xfId="0" applyAlignment="1" applyBorder="1" applyFont="1">
      <alignment horizontal="center" readingOrder="0" shrinkToFit="0" vertical="center" wrapText="0"/>
    </xf>
    <xf borderId="0" fillId="16" fontId="19" numFmtId="0" xfId="0" applyAlignment="1" applyFont="1">
      <alignment horizontal="center" readingOrder="0" shrinkToFit="0" vertical="center" wrapText="0"/>
    </xf>
    <xf borderId="0" fillId="0" fontId="19" numFmtId="0" xfId="0" applyAlignment="1" applyFont="1">
      <alignment horizontal="center" readingOrder="0" shrinkToFit="0" vertical="center" wrapText="0"/>
    </xf>
    <xf borderId="0" fillId="0" fontId="19" numFmtId="172" xfId="0" applyAlignment="1" applyFont="1" applyNumberFormat="1">
      <alignment horizontal="center" readingOrder="0" shrinkToFit="0" vertical="center" wrapText="0"/>
    </xf>
    <xf borderId="0" fillId="0" fontId="19" numFmtId="0" xfId="0" applyAlignment="1" applyFont="1">
      <alignment horizontal="center" readingOrder="0" shrinkToFit="0" vertical="center" wrapText="1"/>
    </xf>
    <xf borderId="0" fillId="0" fontId="19" numFmtId="167" xfId="0" applyAlignment="1" applyFont="1" applyNumberFormat="1">
      <alignment horizontal="center" readingOrder="0" shrinkToFit="0" vertical="center" wrapText="0"/>
    </xf>
    <xf borderId="0" fillId="0" fontId="29" numFmtId="172" xfId="0" applyAlignment="1" applyFont="1" applyNumberFormat="1">
      <alignment horizontal="center" vertical="center"/>
    </xf>
    <xf borderId="0" fillId="0" fontId="1" numFmtId="172" xfId="0" applyAlignment="1" applyFont="1" applyNumberFormat="1">
      <alignment horizontal="center" vertical="center"/>
    </xf>
    <xf borderId="0" fillId="0" fontId="1" numFmtId="167" xfId="0" applyAlignment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29" numFmtId="0" xfId="0" applyAlignment="1" applyFont="1">
      <alignment horizontal="center" vertical="center"/>
    </xf>
    <xf borderId="0" fillId="17" fontId="19" numFmtId="0" xfId="0" applyAlignment="1" applyFont="1">
      <alignment horizontal="center" readingOrder="0" shrinkToFit="0" vertical="center" wrapText="0"/>
    </xf>
    <xf borderId="0" fillId="0" fontId="19" numFmtId="0" xfId="0" applyAlignment="1" applyFont="1">
      <alignment horizontal="center" shrinkToFit="0" vertical="center" wrapText="0"/>
    </xf>
    <xf borderId="0" fillId="0" fontId="19" numFmtId="172" xfId="0" applyAlignment="1" applyFont="1" applyNumberFormat="1">
      <alignment horizontal="center" shrinkToFit="0" vertical="center" wrapText="0"/>
    </xf>
    <xf borderId="0" fillId="0" fontId="19" numFmtId="0" xfId="0" applyAlignment="1" applyFont="1">
      <alignment horizontal="center" shrinkToFit="0" vertical="center" wrapText="1"/>
    </xf>
    <xf borderId="0" fillId="0" fontId="1" numFmtId="172" xfId="0" applyAlignment="1" applyFont="1" applyNumberFormat="1">
      <alignment horizontal="center" shrinkToFit="0" vertical="center" wrapText="0"/>
    </xf>
    <xf borderId="0" fillId="0" fontId="1" numFmtId="167" xfId="0" applyAlignment="1" applyFont="1" applyNumberForma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0"/>
    </xf>
    <xf borderId="0" fillId="0" fontId="19" numFmtId="0" xfId="0" applyAlignment="1" applyFont="1">
      <alignment horizontal="center" readingOrder="0" vertical="center"/>
    </xf>
    <xf borderId="0" fillId="0" fontId="19" numFmtId="0" xfId="0" applyAlignment="1" applyFont="1">
      <alignment horizontal="center" vertical="center"/>
    </xf>
    <xf borderId="0" fillId="14" fontId="14" numFmtId="0" xfId="0" applyAlignment="1" applyFont="1">
      <alignment horizontal="center" readingOrder="0"/>
    </xf>
    <xf borderId="0" fillId="14" fontId="19" numFmtId="0" xfId="0" applyAlignment="1" applyFont="1">
      <alignment horizontal="center" readingOrder="0" vertical="center"/>
    </xf>
    <xf borderId="0" fillId="6" fontId="16" numFmtId="168" xfId="0" applyAlignment="1" applyFont="1" applyNumberFormat="1">
      <alignment horizontal="center" readingOrder="0" shrinkToFit="0" vertical="center" wrapText="1"/>
    </xf>
    <xf borderId="0" fillId="0" fontId="14" numFmtId="0" xfId="0" applyAlignment="1" applyFont="1">
      <alignment horizontal="center" readingOrder="0" shrinkToFit="0" vertical="center" wrapText="1"/>
    </xf>
    <xf borderId="0" fillId="15" fontId="14" numFmtId="0" xfId="0" applyAlignment="1" applyFont="1">
      <alignment horizontal="center" readingOrder="0" shrinkToFit="0" vertical="center" wrapText="1"/>
    </xf>
    <xf borderId="4" fillId="6" fontId="30" numFmtId="0" xfId="0" applyAlignment="1" applyBorder="1" applyFont="1">
      <alignment horizontal="center" shrinkToFit="0" wrapText="1"/>
    </xf>
    <xf borderId="9" fillId="6" fontId="16" numFmtId="0" xfId="0" applyAlignment="1" applyBorder="1" applyFont="1">
      <alignment horizontal="center" readingOrder="0" shrinkToFit="0" vertical="center" wrapText="1"/>
    </xf>
    <xf borderId="10" fillId="6" fontId="16" numFmtId="168" xfId="0" applyAlignment="1" applyBorder="1" applyFont="1" applyNumberFormat="1">
      <alignment horizontal="center" readingOrder="0" shrinkToFit="0" vertical="center" wrapText="1"/>
    </xf>
    <xf borderId="10" fillId="0" fontId="14" numFmtId="0" xfId="0" applyAlignment="1" applyBorder="1" applyFont="1">
      <alignment horizontal="center" readingOrder="0" shrinkToFit="0" vertical="center" wrapText="1"/>
    </xf>
    <xf borderId="0" fillId="14" fontId="16" numFmtId="0" xfId="0" applyAlignment="1" applyFont="1">
      <alignment horizontal="center" readingOrder="0" shrinkToFit="0" vertical="center" wrapText="1"/>
    </xf>
    <xf borderId="0" fillId="14" fontId="16" numFmtId="168" xfId="0" applyAlignment="1" applyFont="1" applyNumberFormat="1">
      <alignment horizontal="center" readingOrder="0" shrinkToFit="0" vertical="center" wrapText="1"/>
    </xf>
    <xf borderId="0" fillId="14" fontId="14" numFmtId="0" xfId="0" applyAlignment="1" applyFont="1">
      <alignment horizontal="center" readingOrder="0" shrinkToFit="0" vertical="center" wrapText="1"/>
    </xf>
    <xf borderId="0" fillId="14" fontId="31" numFmtId="173" xfId="0" applyAlignment="1" applyFont="1" applyNumberFormat="1">
      <alignment horizontal="center" shrinkToFit="0" vertical="center" wrapText="0"/>
    </xf>
    <xf borderId="1" fillId="5" fontId="19" numFmtId="0" xfId="0" applyAlignment="1" applyBorder="1" applyFont="1">
      <alignment horizontal="center" readingOrder="0" vertical="center"/>
    </xf>
    <xf borderId="0" fillId="14" fontId="29" numFmtId="0" xfId="0" applyAlignment="1" applyFont="1">
      <alignment horizontal="center"/>
    </xf>
    <xf borderId="0" fillId="5" fontId="19" numFmtId="0" xfId="0" applyAlignment="1" applyFont="1">
      <alignment horizontal="center" readingOrder="0" vertical="center"/>
    </xf>
    <xf borderId="4" fillId="6" fontId="17" numFmtId="168" xfId="0" applyAlignment="1" applyBorder="1" applyFont="1" applyNumberFormat="1">
      <alignment horizontal="center" readingOrder="0" shrinkToFit="0" vertical="center" wrapText="1"/>
    </xf>
    <xf borderId="0" fillId="7" fontId="15" numFmtId="49" xfId="0" applyAlignment="1" applyFont="1" applyNumberFormat="1">
      <alignment horizontal="center" readingOrder="0" shrinkToFit="0" vertical="center" wrapText="1"/>
    </xf>
    <xf borderId="0" fillId="15" fontId="22" numFmtId="0" xfId="0" applyAlignment="1" applyFont="1">
      <alignment horizontal="center" readingOrder="0" vertical="bottom"/>
    </xf>
    <xf borderId="0" fillId="15" fontId="24" numFmtId="0" xfId="0" applyAlignment="1" applyFont="1">
      <alignment horizontal="center" readingOrder="0"/>
    </xf>
    <xf borderId="0" fillId="7" fontId="15" numFmtId="0" xfId="0" applyAlignment="1" applyFont="1">
      <alignment horizontal="center" readingOrder="0" shrinkToFit="0" vertical="center" wrapText="0"/>
    </xf>
    <xf borderId="0" fillId="15" fontId="0" numFmtId="0" xfId="0" applyAlignment="1" applyFont="1">
      <alignment horizontal="center" readingOrder="0"/>
    </xf>
    <xf borderId="0" fillId="0" fontId="14" numFmtId="164" xfId="0" applyAlignment="1" applyFont="1" applyNumberFormat="1">
      <alignment horizontal="center" readingOrder="0"/>
    </xf>
    <xf borderId="0" fillId="0" fontId="26" numFmtId="164" xfId="0" applyAlignment="1" applyFont="1" applyNumberFormat="1">
      <alignment horizontal="center" vertical="bottom"/>
    </xf>
    <xf borderId="9" fillId="6" fontId="17" numFmtId="168" xfId="0" applyAlignment="1" applyBorder="1" applyFont="1" applyNumberFormat="1">
      <alignment horizontal="center" readingOrder="0" shrinkToFit="0" vertical="center" wrapText="1"/>
    </xf>
    <xf borderId="10" fillId="7" fontId="15" numFmtId="169" xfId="0" applyAlignment="1" applyBorder="1" applyFont="1" applyNumberFormat="1">
      <alignment horizontal="center" readingOrder="0" shrinkToFit="0" vertical="center" wrapText="1"/>
    </xf>
    <xf borderId="10" fillId="7" fontId="14" numFmtId="0" xfId="0" applyAlignment="1" applyBorder="1" applyFont="1">
      <alignment horizontal="center" readingOrder="0" shrinkToFit="0" vertical="center" wrapText="1"/>
    </xf>
    <xf borderId="10" fillId="7" fontId="15" numFmtId="167" xfId="0" applyAlignment="1" applyBorder="1" applyFont="1" applyNumberFormat="1">
      <alignment horizontal="center" readingOrder="0" shrinkToFit="0" vertical="center" wrapText="1"/>
    </xf>
    <xf borderId="10" fillId="7" fontId="15" numFmtId="0" xfId="0" applyAlignment="1" applyBorder="1" applyFont="1">
      <alignment horizontal="center" readingOrder="0" shrinkToFit="0" vertical="center" wrapText="1"/>
    </xf>
    <xf borderId="10" fillId="7" fontId="15" numFmtId="49" xfId="0" applyAlignment="1" applyBorder="1" applyFont="1" applyNumberFormat="1">
      <alignment horizontal="center" readingOrder="0" shrinkToFit="0" vertical="center" wrapText="1"/>
    </xf>
    <xf borderId="10" fillId="7" fontId="17" numFmtId="0" xfId="0" applyAlignment="1" applyBorder="1" applyFont="1">
      <alignment horizontal="center" readingOrder="0" shrinkToFit="0" vertical="center" wrapText="1"/>
    </xf>
    <xf borderId="13" fillId="5" fontId="19" numFmtId="0" xfId="0" applyAlignment="1" applyBorder="1" applyFont="1">
      <alignment horizontal="center" readingOrder="0" vertical="center"/>
    </xf>
    <xf borderId="13" fillId="0" fontId="18" numFmtId="0" xfId="0" applyBorder="1" applyFont="1"/>
    <xf borderId="10" fillId="14" fontId="29" numFmtId="0" xfId="0" applyAlignment="1" applyBorder="1" applyFont="1">
      <alignment horizontal="center"/>
    </xf>
    <xf borderId="0" fillId="15" fontId="29" numFmtId="0" xfId="0" applyAlignment="1" applyFont="1">
      <alignment horizontal="center" readingOrder="0"/>
    </xf>
    <xf borderId="0" fillId="0" fontId="29" numFmtId="0" xfId="0" applyAlignment="1" applyFont="1">
      <alignment horizontal="center" readingOrder="0"/>
    </xf>
    <xf borderId="0" fillId="15" fontId="26" numFmtId="0" xfId="0" applyAlignment="1" applyFont="1">
      <alignment horizontal="center" readingOrder="0" vertical="bottom"/>
    </xf>
    <xf borderId="1" fillId="6" fontId="17" numFmtId="168" xfId="0" applyAlignment="1" applyBorder="1" applyFont="1" applyNumberFormat="1">
      <alignment horizontal="center" readingOrder="0" shrinkToFit="0" vertical="center" wrapText="1"/>
    </xf>
    <xf borderId="2" fillId="7" fontId="15" numFmtId="169" xfId="0" applyAlignment="1" applyBorder="1" applyFont="1" applyNumberFormat="1">
      <alignment horizontal="center" readingOrder="0" shrinkToFit="0" vertical="center" wrapText="1"/>
    </xf>
    <xf borderId="2" fillId="7" fontId="14" numFmtId="0" xfId="0" applyAlignment="1" applyBorder="1" applyFont="1">
      <alignment horizontal="center" readingOrder="0" shrinkToFit="0" vertical="center" wrapText="1"/>
    </xf>
    <xf borderId="2" fillId="7" fontId="15" numFmtId="167" xfId="0" applyAlignment="1" applyBorder="1" applyFont="1" applyNumberFormat="1">
      <alignment horizontal="center" readingOrder="0" shrinkToFit="0" vertical="center" wrapText="1"/>
    </xf>
    <xf borderId="2" fillId="7" fontId="15" numFmtId="0" xfId="0" applyAlignment="1" applyBorder="1" applyFont="1">
      <alignment horizontal="center" readingOrder="0" shrinkToFit="0" vertical="center" wrapText="1"/>
    </xf>
    <xf borderId="2" fillId="7" fontId="15" numFmtId="49" xfId="0" applyAlignment="1" applyBorder="1" applyFont="1" applyNumberFormat="1">
      <alignment horizontal="center" readingOrder="0" shrinkToFit="0" vertical="center" wrapText="1"/>
    </xf>
    <xf borderId="2" fillId="7" fontId="17" numFmtId="0" xfId="0" applyAlignment="1" applyBorder="1" applyFont="1">
      <alignment horizontal="center" readingOrder="0" shrinkToFit="0" vertical="center" wrapText="1"/>
    </xf>
    <xf borderId="2" fillId="7" fontId="16" numFmtId="0" xfId="0" applyAlignment="1" applyBorder="1" applyFont="1">
      <alignment horizontal="center" readingOrder="0" shrinkToFit="0" vertical="center" wrapText="1"/>
    </xf>
    <xf borderId="0" fillId="5" fontId="16" numFmtId="0" xfId="0" applyAlignment="1" applyFont="1">
      <alignment horizontal="center" readingOrder="0" shrinkToFit="0" vertical="center" wrapText="1"/>
    </xf>
    <xf borderId="0" fillId="7" fontId="32" numFmtId="0" xfId="0" applyAlignment="1" applyFont="1">
      <alignment horizontal="center" readingOrder="0" shrinkToFit="0" vertical="center" wrapText="0"/>
    </xf>
    <xf borderId="1" fillId="18" fontId="19" numFmtId="171" xfId="0" applyAlignment="1" applyBorder="1" applyFill="1" applyFont="1" applyNumberFormat="1">
      <alignment horizontal="center" readingOrder="0" vertical="center"/>
    </xf>
    <xf borderId="1" fillId="5" fontId="19" numFmtId="171" xfId="0" applyAlignment="1" applyBorder="1" applyFont="1" applyNumberFormat="1">
      <alignment horizontal="center" readingOrder="0" vertical="center"/>
    </xf>
    <xf borderId="4" fillId="18" fontId="19" numFmtId="0" xfId="0" applyAlignment="1" applyBorder="1" applyFont="1">
      <alignment horizontal="center" readingOrder="0"/>
    </xf>
    <xf borderId="0" fillId="18" fontId="19" numFmtId="0" xfId="0" applyAlignment="1" applyFont="1">
      <alignment horizontal="center" readingOrder="0"/>
    </xf>
    <xf borderId="4" fillId="5" fontId="19" numFmtId="0" xfId="0" applyAlignment="1" applyBorder="1" applyFont="1">
      <alignment horizontal="center" readingOrder="0"/>
    </xf>
    <xf borderId="4" fillId="19" fontId="19" numFmtId="0" xfId="0" applyAlignment="1" applyBorder="1" applyFill="1" applyFont="1">
      <alignment horizontal="center" readingOrder="0"/>
    </xf>
    <xf borderId="4" fillId="15" fontId="19" numFmtId="0" xfId="0" applyAlignment="1" applyBorder="1" applyFont="1">
      <alignment horizontal="center" readingOrder="0"/>
    </xf>
    <xf borderId="9" fillId="19" fontId="19" numFmtId="0" xfId="0" applyAlignment="1" applyBorder="1" applyFont="1">
      <alignment horizontal="center" readingOrder="0"/>
    </xf>
    <xf borderId="9" fillId="15" fontId="19" numFmtId="0" xfId="0" applyAlignment="1" applyBorder="1" applyFont="1">
      <alignment horizontal="center" readingOrder="0"/>
    </xf>
    <xf borderId="0" fillId="5" fontId="16" numFmtId="0" xfId="0" applyAlignment="1" applyFont="1">
      <alignment horizontal="center" readingOrder="0" vertical="center"/>
    </xf>
    <xf borderId="0" fillId="5" fontId="16" numFmtId="0" xfId="0" applyAlignment="1" applyFont="1">
      <alignment horizontal="center" readingOrder="0" shrinkToFit="0" wrapText="0"/>
    </xf>
    <xf borderId="0" fillId="0" fontId="15" numFmtId="0" xfId="0" applyAlignment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0" fontId="14" numFmtId="0" xfId="0" applyAlignment="1" applyFont="1">
      <alignment horizontal="center" readingOrder="0" vertical="center"/>
    </xf>
    <xf borderId="0" fillId="0" fontId="14" numFmtId="172" xfId="0" applyAlignment="1" applyFont="1" applyNumberFormat="1">
      <alignment horizontal="center" readingOrder="0" vertical="center"/>
    </xf>
    <xf borderId="0" fillId="0" fontId="14" numFmtId="167" xfId="0" applyAlignment="1" applyFont="1" applyNumberFormat="1">
      <alignment horizontal="center" readingOrder="0" vertical="center"/>
    </xf>
    <xf borderId="0" fillId="0" fontId="14" numFmtId="0" xfId="0" applyAlignment="1" applyFont="1">
      <alignment horizontal="center" shrinkToFit="0" vertical="center" wrapText="1"/>
    </xf>
    <xf borderId="0" fillId="0" fontId="33" numFmtId="0" xfId="0" applyAlignment="1" applyFont="1">
      <alignment horizontal="center" vertical="center"/>
    </xf>
    <xf borderId="0" fillId="0" fontId="26" numFmtId="0" xfId="0" applyAlignment="1" applyFont="1">
      <alignment horizontal="center"/>
    </xf>
    <xf borderId="0" fillId="0" fontId="26" numFmtId="172" xfId="0" applyFont="1" applyNumberFormat="1"/>
    <xf borderId="0" fillId="0" fontId="26" numFmtId="172" xfId="0" applyAlignment="1" applyFont="1" applyNumberFormat="1">
      <alignment horizontal="center"/>
    </xf>
    <xf borderId="0" fillId="0" fontId="26" numFmtId="167" xfId="0" applyAlignment="1" applyFont="1" applyNumberFormat="1">
      <alignment horizontal="center"/>
    </xf>
    <xf borderId="0" fillId="14" fontId="27" numFmtId="0" xfId="0" applyAlignment="1" applyFont="1">
      <alignment horizontal="left" readingOrder="0" vertical="center"/>
    </xf>
    <xf borderId="0" fillId="0" fontId="19" numFmtId="0" xfId="0" applyAlignment="1" applyFont="1">
      <alignment horizontal="center" readingOrder="0"/>
    </xf>
    <xf borderId="0" fillId="0" fontId="1" numFmtId="168" xfId="0" applyAlignment="1" applyFont="1" applyNumberFormat="1">
      <alignment horizontal="center" readingOrder="0"/>
    </xf>
    <xf borderId="0" fillId="20" fontId="19" numFmtId="0" xfId="0" applyAlignment="1" applyFill="1" applyFont="1">
      <alignment horizontal="center" readingOrder="0"/>
    </xf>
    <xf borderId="0" fillId="0" fontId="19" numFmtId="0" xfId="0" applyAlignment="1" applyFont="1">
      <alignment horizontal="left" readingOrder="0" shrinkToFit="0" vertical="top" wrapText="1"/>
    </xf>
    <xf borderId="0" fillId="7" fontId="19" numFmtId="0" xfId="0" applyAlignment="1" applyFont="1">
      <alignment horizontal="center" readingOrder="0"/>
    </xf>
    <xf borderId="0" fillId="7" fontId="1" numFmtId="0" xfId="0" applyAlignment="1" applyFont="1">
      <alignment horizontal="center" readingOrder="0"/>
    </xf>
    <xf borderId="0" fillId="7" fontId="1" numFmtId="168" xfId="0" applyAlignment="1" applyFont="1" applyNumberFormat="1">
      <alignment horizontal="center" readingOrder="0"/>
    </xf>
    <xf borderId="0" fillId="0" fontId="19" numFmtId="0" xfId="0" applyAlignment="1" applyFont="1">
      <alignment horizontal="center"/>
    </xf>
    <xf borderId="0" fillId="7" fontId="19" numFmtId="0" xfId="0" applyAlignment="1" applyFont="1">
      <alignment horizontal="center"/>
    </xf>
    <xf borderId="0" fillId="7" fontId="1" numFmtId="0" xfId="0" applyAlignment="1" applyFont="1">
      <alignment horizontal="center"/>
    </xf>
    <xf borderId="0" fillId="6" fontId="19" numFmtId="0" xfId="0" applyAlignment="1" applyFont="1">
      <alignment horizontal="center" readingOrder="0"/>
    </xf>
    <xf borderId="0" fillId="7" fontId="1" numFmtId="169" xfId="0" applyAlignment="1" applyFont="1" applyNumberFormat="1">
      <alignment horizontal="center" readingOrder="0"/>
    </xf>
    <xf borderId="0" fillId="6" fontId="19" numFmtId="0" xfId="0" applyAlignment="1" applyFont="1">
      <alignment horizontal="left" readingOrder="0" vertical="top"/>
    </xf>
    <xf borderId="0" fillId="0" fontId="1" numFmtId="169" xfId="0" applyAlignment="1" applyFont="1" applyNumberFormat="1">
      <alignment horizontal="center" readingOrder="0"/>
    </xf>
    <xf borderId="0" fillId="14" fontId="34" numFmtId="0" xfId="0" applyAlignment="1" applyFont="1">
      <alignment horizontal="center" readingOrder="0" vertical="bottom"/>
    </xf>
    <xf borderId="0" fillId="0" fontId="30" numFmtId="0" xfId="0" applyAlignment="1" applyFont="1">
      <alignment horizontal="center" readingOrder="0" vertical="bottom"/>
    </xf>
    <xf borderId="0" fillId="0" fontId="26" numFmtId="0" xfId="0" applyAlignment="1" applyFont="1">
      <alignment horizontal="center" vertical="bottom"/>
    </xf>
    <xf borderId="0" fillId="0" fontId="26" numFmtId="169" xfId="0" applyAlignment="1" applyFont="1" applyNumberFormat="1">
      <alignment horizontal="center" vertical="bottom"/>
    </xf>
    <xf borderId="0" fillId="7" fontId="30" numFmtId="0" xfId="0" applyAlignment="1" applyFont="1">
      <alignment horizontal="center" readingOrder="0" vertical="bottom"/>
    </xf>
    <xf borderId="0" fillId="7" fontId="26" numFmtId="0" xfId="0" applyAlignment="1" applyFont="1">
      <alignment horizontal="center" readingOrder="0" vertical="bottom"/>
    </xf>
    <xf borderId="0" fillId="7" fontId="26" numFmtId="0" xfId="0" applyAlignment="1" applyFont="1">
      <alignment horizontal="center" vertical="bottom"/>
    </xf>
    <xf borderId="0" fillId="7" fontId="26" numFmtId="169" xfId="0" applyAlignment="1" applyFont="1" applyNumberFormat="1">
      <alignment horizontal="center" vertical="bottom"/>
    </xf>
    <xf borderId="0" fillId="20" fontId="30" numFmtId="0" xfId="0" applyAlignment="1" applyFont="1">
      <alignment horizontal="center" readingOrder="0" vertical="bottom"/>
    </xf>
    <xf borderId="0" fillId="6" fontId="30" numFmtId="0" xfId="0" applyAlignment="1" applyFont="1">
      <alignment horizontal="left" readingOrder="0" shrinkToFit="0" vertical="top" wrapText="1"/>
    </xf>
    <xf borderId="0" fillId="0" fontId="30" numFmtId="0" xfId="0" applyAlignment="1" applyFont="1">
      <alignment horizontal="center" vertical="bottom"/>
    </xf>
    <xf borderId="0" fillId="7" fontId="30" numFmtId="0" xfId="0" applyAlignment="1" applyFont="1">
      <alignment horizontal="center" vertical="bottom"/>
    </xf>
    <xf borderId="0" fillId="14" fontId="25" numFmtId="0" xfId="0" applyAlignment="1" applyFont="1">
      <alignment vertical="bottom"/>
    </xf>
    <xf borderId="0" fillId="0" fontId="35" numFmtId="0" xfId="0" applyAlignment="1" applyFont="1">
      <alignment readingOrder="0"/>
    </xf>
  </cellXfs>
  <cellStyles count="1">
    <cellStyle xfId="0" name="Normal" builtinId="0"/>
  </cellStyles>
  <dxfs count="8">
    <dxf>
      <font>
        <b/>
        <color rgb="FFFFFFFF"/>
      </font>
      <fill>
        <patternFill patternType="solid">
          <fgColor rgb="FF56C57C"/>
          <bgColor rgb="FF56C57C"/>
        </patternFill>
      </fill>
      <border/>
    </dxf>
    <dxf>
      <font>
        <b/>
        <color rgb="FF000000"/>
      </font>
      <fill>
        <patternFill patternType="solid">
          <fgColor rgb="FFF6C85F"/>
          <bgColor rgb="FFF6C85F"/>
        </patternFill>
      </fill>
      <border/>
    </dxf>
    <dxf>
      <font>
        <b/>
        <color rgb="FF000000"/>
      </font>
      <fill>
        <patternFill patternType="solid">
          <fgColor rgb="FFE69138"/>
          <bgColor rgb="FFE69138"/>
        </patternFill>
      </fill>
      <border/>
    </dxf>
    <dxf>
      <font/>
      <fill>
        <patternFill patternType="solid">
          <fgColor theme="7"/>
          <bgColor theme="7"/>
        </patternFill>
      </fill>
      <border/>
    </dxf>
    <dxf>
      <font/>
      <fill>
        <patternFill patternType="solid">
          <fgColor theme="6"/>
          <bgColor theme="6"/>
        </patternFill>
      </fill>
      <border/>
    </dxf>
    <dxf>
      <font/>
      <fill>
        <patternFill patternType="solid">
          <fgColor rgb="FF6D9EEB"/>
          <bgColor rgb="FF6D9EEB"/>
        </patternFill>
      </fill>
      <border/>
    </dxf>
    <dxf>
      <font/>
      <fill>
        <patternFill patternType="solid">
          <fgColor rgb="FFFFD966"/>
          <bgColor rgb="FFFFD966"/>
        </patternFill>
      </fill>
      <border/>
    </dxf>
    <dxf>
      <font/>
      <fill>
        <patternFill patternType="solid">
          <fgColor rgb="FFE06666"/>
          <bgColor rgb="FFE06666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gif"/><Relationship Id="rId2" Type="http://schemas.openxmlformats.org/officeDocument/2006/relationships/image" Target="../media/image3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4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gif"/><Relationship Id="rId2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49</xdr:col>
      <xdr:colOff>28575</xdr:colOff>
      <xdr:row>20</xdr:row>
      <xdr:rowOff>57150</xdr:rowOff>
    </xdr:from>
    <xdr:ext cx="1657350" cy="20383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0</xdr:row>
      <xdr:rowOff>85725</xdr:rowOff>
    </xdr:from>
    <xdr:ext cx="676275" cy="838200"/>
    <xdr:pic>
      <xdr:nvPicPr>
        <xdr:cNvPr id="0" name="image2.gif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704850</xdr:colOff>
      <xdr:row>0</xdr:row>
      <xdr:rowOff>47625</xdr:rowOff>
    </xdr:from>
    <xdr:ext cx="676275" cy="923925"/>
    <xdr:pic>
      <xdr:nvPicPr>
        <xdr:cNvPr id="0" name="image3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44</xdr:col>
      <xdr:colOff>247650</xdr:colOff>
      <xdr:row>0</xdr:row>
      <xdr:rowOff>0</xdr:rowOff>
    </xdr:from>
    <xdr:ext cx="676275" cy="923925"/>
    <xdr:pic>
      <xdr:nvPicPr>
        <xdr:cNvPr id="0" name="image3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19050</xdr:colOff>
      <xdr:row>0</xdr:row>
      <xdr:rowOff>85725</xdr:rowOff>
    </xdr:from>
    <xdr:ext cx="676275" cy="838200"/>
    <xdr:pic>
      <xdr:nvPicPr>
        <xdr:cNvPr id="0" name="image4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0</xdr:row>
      <xdr:rowOff>85725</xdr:rowOff>
    </xdr:from>
    <xdr:ext cx="676275" cy="838200"/>
    <xdr:pic>
      <xdr:nvPicPr>
        <xdr:cNvPr id="0" name="image2.gif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3286125</xdr:colOff>
      <xdr:row>0</xdr:row>
      <xdr:rowOff>38100</xdr:rowOff>
    </xdr:from>
    <xdr:ext cx="676275" cy="923925"/>
    <xdr:pic>
      <xdr:nvPicPr>
        <xdr:cNvPr id="0" name="image3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RQye5_eghtB2ERh6Dl6-i2rEt0AFdVdLFNW3iIpq3SM/edit?gid=" TargetMode="External"/><Relationship Id="rId2" Type="http://schemas.openxmlformats.org/officeDocument/2006/relationships/hyperlink" Target="https://docs.google.com/spreadsheets/d/1M1lnYyAeZLKAxNGbD_e3nkB30MSJk29vgWQYpcQoqtM/edit?gid=" TargetMode="External"/><Relationship Id="rId3" Type="http://schemas.openxmlformats.org/officeDocument/2006/relationships/hyperlink" Target="https://docs.google.com/spreadsheets/d/1JDlo1E-doftM6rzTxNBLKzn4Hmx20rmKB1L1ePmEcr8/edit?gid=" TargetMode="External"/><Relationship Id="rId4" Type="http://schemas.openxmlformats.org/officeDocument/2006/relationships/hyperlink" Target="https://docs.google.com/spreadsheets/d/19Vz8sbr4k6ss-DiQ1CyDKAJrQ-8MgALOsacmS5JHmeg/edit?gid=" TargetMode="External"/><Relationship Id="rId5" Type="http://schemas.openxmlformats.org/officeDocument/2006/relationships/hyperlink" Target="https://docs.google.com/spreadsheets/d/1Bp1-vP4J8n9CjGWHXjyUyKcuPQAVColw0r7_EWtm8uA/edit?gid=" TargetMode="External"/><Relationship Id="rId6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6" width="3.25"/>
    <col customWidth="1" min="47" max="52" width="3.88"/>
    <col customWidth="1" min="53" max="57" width="3.25"/>
  </cols>
  <sheetData>
    <row r="1" ht="21.0" customHeight="1">
      <c r="A1" s="1"/>
      <c r="B1" s="1"/>
      <c r="C1" s="1"/>
      <c r="D1" s="1"/>
      <c r="E1" s="2" t="s">
        <v>0</v>
      </c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ht="21.0" customHeight="1">
      <c r="A2" s="1"/>
      <c r="B2" s="1"/>
      <c r="C2" s="1"/>
      <c r="D2" s="1"/>
      <c r="AL2" s="1"/>
      <c r="AM2" s="1"/>
      <c r="AN2" s="1"/>
      <c r="AO2" s="1"/>
      <c r="AP2" s="1"/>
      <c r="AQ2" s="1"/>
      <c r="AR2" s="3" t="str">
        <f>"🕰️ "&amp;TEXT(TODAY(),"Dddd, dd mmmm yyyy")&amp;" - "&amp;TEXT(NOW(),"HH:mm")</f>
        <v>🕰️ sexta-feira, 26 junho 2026 - 11:24</v>
      </c>
      <c r="BC2" s="1"/>
      <c r="BD2" s="1"/>
      <c r="BE2" s="1"/>
    </row>
    <row r="3" ht="21.0" customHeight="1">
      <c r="A3" s="1"/>
      <c r="B3" s="1"/>
      <c r="C3" s="1"/>
      <c r="D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ht="15.0" customHeight="1">
      <c r="A4" s="1"/>
      <c r="B4" s="4" t="s">
        <v>1</v>
      </c>
      <c r="G4" s="5" t="str">
        <f>IFERROR(__xludf.DUMMYFUNCTION("IFERROR(INDEX(FILTER(VOOS!$AP:$AP, (VOOS!$B:$B=""ROTA""),(VOOS!$AP:$AP&lt;&gt;""REALIZADO""),(VOOS!$AP:$AP&lt;&gt;""ABORTIVA"")),1),"""")"),"")</f>
        <v/>
      </c>
      <c r="K4" s="1"/>
      <c r="L4" s="4" t="s">
        <v>1</v>
      </c>
      <c r="Q4" s="5" t="str">
        <f>IFERROR(__xludf.DUMMYFUNCTION("IFERROR(INDEX(FILTER(VOOS!$AP:$AP, (VOOS!$B:$B=""ROTA""),(VOOS!$AP:$AP&lt;&gt;""REALIZADO""),(VOOS!$AP:$AP&lt;&gt;""ABORTIVA"")),2),"""")"),"")</f>
        <v/>
      </c>
      <c r="U4" s="1"/>
      <c r="V4" s="4" t="s">
        <v>1</v>
      </c>
      <c r="AA4" s="5" t="str">
        <f>IFERROR(__xludf.DUMMYFUNCTION("IFERROR(INDEX(FILTER(VOOS!$AP:$AP, (VOOS!$B:$B=""ROTA""),(VOOS!$AP:$AP&lt;&gt;""REALIZADO""),(VOOS!$AP:$AP&lt;&gt;""ABORTIVA"")),3),"""")"),"")</f>
        <v/>
      </c>
      <c r="AE4" s="1"/>
      <c r="AF4" s="4" t="s">
        <v>1</v>
      </c>
      <c r="AK4" s="5" t="str">
        <f>IFERROR(__xludf.DUMMYFUNCTION("IFERROR(INDEX(FILTER(VOOS!$AP:$AP, (VOOS!$B:$B=""ROTA""),(VOOS!$AP:$AP&lt;&gt;""REALIZADO""),(VOOS!$AP:$AP&lt;&gt;""ABORTIVA"")),4),"""")"),"")</f>
        <v/>
      </c>
      <c r="AO4" s="1"/>
      <c r="AP4" s="6" t="s">
        <v>2</v>
      </c>
      <c r="AV4" s="1"/>
      <c r="AW4" s="6" t="s">
        <v>3</v>
      </c>
      <c r="BE4" s="1"/>
    </row>
    <row r="5" ht="15.0" customHeight="1">
      <c r="A5" s="1"/>
      <c r="K5" s="1"/>
      <c r="U5" s="1"/>
      <c r="AE5" s="1"/>
      <c r="AO5" s="1"/>
      <c r="AP5" s="7" t="s">
        <v>4</v>
      </c>
      <c r="AR5" s="7" t="s">
        <v>5</v>
      </c>
      <c r="AT5" s="7" t="s">
        <v>6</v>
      </c>
      <c r="AV5" s="1"/>
      <c r="AW5" s="8" t="str">
        <f>IFERROR(__xludf.DUMMYFUNCTION("INDEX(
IMPORTDATA(""https://tgftp.nws.noaa.gov/data/observations/metar/stations/SBNT.TXT""),2
)"),"SBNT 261400Z 15005KT 120V180 9999 4000E -RA BKN013 BKN020 FEW029TCU OVC047 26/23 Q1017")</f>
        <v>SBNT 261400Z 15005KT 120V180 9999 4000E -RA BKN013 BKN020 FEW029TCU OVC047 26/23 Q1017</v>
      </c>
      <c r="BE5" s="1"/>
    </row>
    <row r="6" ht="15.0" customHeight="1">
      <c r="A6" s="1"/>
      <c r="B6" s="9" t="str">
        <f>IFERROR(__xludf.DUMMYFUNCTION("""DATA: ""&amp;IFERROR(IF(INDEX(FILTER(VOOS!$C:$C, (VOOS!$B:$B=""ROTA""),(VOOS!$AP:$AP&lt;&gt;""REALIZADO""),(VOOS!$AP:$AP&lt;&gt;""ABORTIVA"")),1)="""",""-"",
          TEXT(INDEX(FILTER(VOOS!$C:$C, (VOOS!$B:$B=""ROTA""),(VOOS!$AP:$AP&lt;&gt;""REALIZADO""),(VOOS!$AP:$AP&lt;&gt;""AB"&amp;"ORTIVA"")),1),""DD/MM/YY"")))
"),"DATA: ")</f>
        <v>DATA: </v>
      </c>
      <c r="G6" s="9" t="str">
        <f>IFERROR(__xludf.DUMMYFUNCTION("""OFRAG: ""&amp;IFERROR(INDEX(FILTER(VOOS!$AG:$AG, (VOOS!$B:$B=""ROTA""),(VOOS!$AP:$AP&lt;&gt;""REALIZADO""),(VOOS!$AP:$AP&lt;&gt;""ABORTIVA"")),1),"""")
"),"OFRAG: ")</f>
        <v>OFRAG: </v>
      </c>
      <c r="K6" s="1"/>
      <c r="L6" s="9" t="str">
        <f>IFERROR(__xludf.DUMMYFUNCTION("""DATA: ""&amp;IFERROR(IF(INDEX(FILTER(VOOS!$C:$C, (VOOS!$B:$B=""ROTA""),(VOOS!$AP:$AP&lt;&gt;""REALIZADO""),(VOOS!$AP:$AP&lt;&gt;""ABORTIVA"")),2)="""",""-"",
          TEXT(INDEX(FILTER(VOOS!$C:$C, (VOOS!$B:$B=""ROTA""),(VOOS!$AP:$AP&lt;&gt;""REALIZADO""),(VOOS!$AP:$AP&lt;&gt;""AB"&amp;"ORTIVA"")),2),""DD/MM/YY"")))
"),"DATA: ")</f>
        <v>DATA: </v>
      </c>
      <c r="Q6" s="9" t="str">
        <f>IFERROR(__xludf.DUMMYFUNCTION("""OFRAG: ""&amp;IFERROR(INDEX(FILTER(VOOS!$AG:$AG, (VOOS!$B:$B=""ROTA""),(VOOS!$AP:$AP&lt;&gt;""REALIZADO""),(VOOS!$AP:$AP&lt;&gt;""ABORTIVA"")),2),"""")
"),"OFRAG: ")</f>
        <v>OFRAG: </v>
      </c>
      <c r="U6" s="1"/>
      <c r="V6" s="9" t="str">
        <f>IFERROR(__xludf.DUMMYFUNCTION("""DATA: ""&amp;IFERROR(IF(INDEX(FILTER(VOOS!$C:$C, (VOOS!$B:$B=""ROTA""),(VOOS!$AP:$AP&lt;&gt;""REALIZADO""),(VOOS!$AP:$AP&lt;&gt;""ABORTIVA"")),3)="""",""-"",
          TEXT(INDEX(FILTER(VOOS!$C:$C, (VOOS!$B:$B=""ROTA""),(VOOS!$AP:$AP&lt;&gt;""REALIZADO""),(VOOS!$AP:$AP&lt;&gt;""AB"&amp;"ORTIVA"")),3),""DD/MM/YY"")))
"),"DATA: ")</f>
        <v>DATA: </v>
      </c>
      <c r="AA6" s="9" t="str">
        <f>IFERROR(__xludf.DUMMYFUNCTION("""OFRAG: ""&amp;IFERROR(INDEX(FILTER(VOOS!$AG:$AG, (VOOS!$B:$B=""ROTA""),(VOOS!$AP:$AP&lt;&gt;""REALIZADO""),(VOOS!$AP:$AP&lt;&gt;""ABORTIVA"")),3),"""")
"),"OFRAG: ")</f>
        <v>OFRAG: </v>
      </c>
      <c r="AE6" s="1"/>
      <c r="AF6" s="9" t="str">
        <f>IFERROR(__xludf.DUMMYFUNCTION("""DATA: ""&amp;IFERROR(IF(INDEX(FILTER(VOOS!$C:$C, (VOOS!$B:$B=""ROTA""),(VOOS!$AP:$AP&lt;&gt;""REALIZADO""),(VOOS!$AP:$AP&lt;&gt;""ABORTIVA"")),4)="""",""-"",
          TEXT(INDEX(FILTER(VOOS!$C:$C, (VOOS!$B:$B=""ROTA""),(VOOS!$AP:$AP&lt;&gt;""REALIZADO""),(VOOS!$AP:$AP&lt;&gt;""AB"&amp;"ORTIVA"")),4),""DD/MM/YY"")))
"),"DATA: ")</f>
        <v>DATA: </v>
      </c>
      <c r="AK6" s="9" t="str">
        <f>IFERROR(__xludf.DUMMYFUNCTION("""OFRAG: ""&amp;IFERROR(INDEX(FILTER(VOOS!$AG:$AG, (VOOS!$B:$B=""ROTA""),(VOOS!$AP:$AP&lt;&gt;""REALIZADO""),(VOOS!$AP:$AP&lt;&gt;""ABORTIVA"")),4),"""")
"),"OFRAG: ")</f>
        <v>OFRAG: </v>
      </c>
      <c r="AO6" s="1"/>
      <c r="AP6" s="7" t="s">
        <v>7</v>
      </c>
      <c r="AR6" s="10">
        <f>IFERROR(__xludf.DUMMYFUNCTION("IMPORTRANGE('Referências'!$B$5,""EA C95!K2"")"),-0.5972222222222179)</f>
        <v>-0.5972222222</v>
      </c>
      <c r="AT6" s="10">
        <f>IFERROR(__xludf.DUMMYFUNCTION("IMPORTRANGE('Referências'!$B$5,""EA C95!K3"")"),0.190972222222217)</f>
        <v>0.1909722222</v>
      </c>
      <c r="AV6" s="1"/>
      <c r="BE6" s="1"/>
    </row>
    <row r="7" ht="15.0" customHeight="1">
      <c r="A7" s="1"/>
      <c r="B7" s="9" t="str">
        <f>IFERROR(__xludf.DUMMYFUNCTION("""HORA(Z): ""&amp;IFERROR(IF(INDEX(FILTER(VOOS!$F:$F, (VOOS!$B:$B=""ROTA""),(VOOS!$AP:$AP&lt;&gt;""REALIZADO""),(VOOS!$AP:$AP&lt;&gt;""ABORTIVA"")),1)="""",""-"",
             TEXT(INDEX(FILTER(VOOS!$F:$F, (VOOS!$B:$B=""ROTA""),(VOOS!$AP:$AP&lt;&gt;""REALIZADO""),(VOOS!$AP:$AP"&amp;"&lt;&gt;""ABORTIVA"")),1),""HH:MM"")))
"),"HORA(Z): ")</f>
        <v>HORA(Z): </v>
      </c>
      <c r="G7" s="9" t="str">
        <f>IFERROR(__xludf.DUMMYFUNCTION("""OMIS: ""&amp;IFERROR(INDEX(FILTER(VOOS!$AJ:$AJ, (VOOS!$B:$B=""ROTA""),(VOOS!$AP:$AP&lt;&gt;""REALIZADO""),(VOOS!$AP:$AP&lt;&gt;""ABORTIVA"")),1),"""")
"),"OMIS: ")</f>
        <v>OMIS: </v>
      </c>
      <c r="K7" s="1"/>
      <c r="L7" s="9" t="str">
        <f>IFERROR(__xludf.DUMMYFUNCTION("""HORA(Z): ""&amp;IFERROR(IF(INDEX(FILTER(VOOS!$F:$F, (VOOS!$B:$B=""ROTA""),(VOOS!$AP:$AP&lt;&gt;""REALIZADO""),(VOOS!$AP:$AP&lt;&gt;""ABORTIVA"")),2)="""",""-"",
             TEXT(INDEX(FILTER(VOOS!$F:$F, (VOOS!$B:$B=""ROTA""),(VOOS!$AP:$AP&lt;&gt;""REALIZADO""),(VOOS!$AP:$AP"&amp;"&lt;&gt;""ABORTIVA"")),2),""HH:MM"")))
"),"HORA(Z): ")</f>
        <v>HORA(Z): </v>
      </c>
      <c r="Q7" s="9" t="str">
        <f>IFERROR(__xludf.DUMMYFUNCTION("""OMIS: ""&amp;IFERROR(INDEX(FILTER(VOOS!$AJ:$AJ, (VOOS!$B:$B=""ROTA""),(VOOS!$AP:$AP&lt;&gt;""REALIZADO""),(VOOS!$AP:$AP&lt;&gt;""ABORTIVA"")),2),"""")
"),"OMIS: ")</f>
        <v>OMIS: </v>
      </c>
      <c r="U7" s="1"/>
      <c r="V7" s="9" t="str">
        <f>IFERROR(__xludf.DUMMYFUNCTION("""HORA(Z): ""&amp;IFERROR(IF(INDEX(FILTER(VOOS!$F:$F, (VOOS!$B:$B=""ROTA""),(VOOS!$AP:$AP&lt;&gt;""REALIZADO""),(VOOS!$AP:$AP&lt;&gt;""ABORTIVA"")),3)="""",""-"",
             TEXT(INDEX(FILTER(VOOS!$F:$F, (VOOS!$B:$B=""ROTA""),(VOOS!$AP:$AP&lt;&gt;""REALIZADO""),(VOOS!$AP:$AP"&amp;"&lt;&gt;""ABORTIVA"")),3),""HH:MM"")))
"),"HORA(Z): ")</f>
        <v>HORA(Z): </v>
      </c>
      <c r="AA7" s="9" t="str">
        <f>IFERROR(__xludf.DUMMYFUNCTION("""OMIS: ""&amp;IFERROR(INDEX(FILTER(VOOS!$AJ:$AJ, (VOOS!$B:$B=""ROTA""),(VOOS!$AP:$AP&lt;&gt;""REALIZADO""),(VOOS!$AP:$AP&lt;&gt;""ABORTIVA"")),3),"""")
"),"OMIS: ")</f>
        <v>OMIS: </v>
      </c>
      <c r="AE7" s="1"/>
      <c r="AF7" s="9" t="str">
        <f>IFERROR(__xludf.DUMMYFUNCTION("""HORA(Z): ""&amp;IFERROR(IF(INDEX(FILTER(VOOS!$F:$F, (VOOS!$B:$B=""ROTA""),(VOOS!$AP:$AP&lt;&gt;""REALIZADO""),(VOOS!$AP:$AP&lt;&gt;""ABORTIVA"")),4)="""",""-"",
             TEXT(INDEX(FILTER(VOOS!$F:$F, (VOOS!$B:$B=""ROTA""),(VOOS!$AP:$AP&lt;&gt;""REALIZADO""),(VOOS!$AP:$AP"&amp;"&lt;&gt;""ABORTIVA"")),4),""HH:MM"")))
"),"HORA(Z): ")</f>
        <v>HORA(Z): </v>
      </c>
      <c r="AK7" s="9" t="str">
        <f>IFERROR(__xludf.DUMMYFUNCTION("""OMIS: ""&amp;IFERROR(INDEX(FILTER(VOOS!$AJ:$AJ, (VOOS!$B:$B=""ROTA""),(VOOS!$AP:$AP&lt;&gt;""REALIZADO""),(VOOS!$AP:$AP&lt;&gt;""ABORTIVA"")),4),"""")
"),"OMIS: ")</f>
        <v>OMIS: </v>
      </c>
      <c r="AO7" s="1"/>
      <c r="AP7" s="7" t="s">
        <v>8</v>
      </c>
      <c r="AR7" s="10">
        <f>IFERROR(__xludf.DUMMYFUNCTION("IMPORTRANGE('Referências'!$B$5,""EA C97!K2"")"),-0.4756944444444482)</f>
        <v>-0.4756944444</v>
      </c>
      <c r="AT7" s="10">
        <f>IFERROR(__xludf.DUMMYFUNCTION("IMPORTRANGE('Referências'!$B$5,""EA C97!K3"")"),8.881784197001252E-16)</f>
        <v>0</v>
      </c>
      <c r="AV7" s="1"/>
      <c r="AW7" s="11" t="str">
        <f>IFERROR(__xludf.DUMMYFUNCTION("INDEX(
IMPORTDATA(""https://tgftp.nws.noaa.gov/data/observations/metar/stations/SBSG.TXT""),2
)"),"SBSG 261400Z 14003KT 100V210 9999 VCSH BKN015 FEW030TCU BKN050 26/24 Q1018")</f>
        <v>SBSG 261400Z 14003KT 100V210 9999 VCSH BKN015 FEW030TCU BKN050 26/24 Q1018</v>
      </c>
      <c r="BE7" s="1"/>
    </row>
    <row r="8" ht="15.0" customHeight="1">
      <c r="A8" s="1"/>
      <c r="B8" s="12" t="str">
        <f>IFERROR(__xludf.DUMMYFUNCTION("""TRIP:""&amp;IFERROR(IF(INDEX(FILTER(VOOS!$I:$I, (VOOS!$B:$B=""ROTA""),(VOOS!$AP:$AP&lt;&gt;""REALIZADO""),(VOOS!$AP:$AP&lt;&gt;""ABORTIVA"")),1)="""","" -"",
          TEXT(INDEX(FILTER(VOOS!$I:$I, (VOOS!$B:$B=""ROTA""),(VOOS!$AP:$AP&lt;&gt;""REALIZADO""),(VOOS!$AP:$AP&lt;&gt;""AB"&amp;"ORTIVA"")),1),""HH:MM"")))
"),"TRIP:")</f>
        <v>TRIP:</v>
      </c>
      <c r="G8" s="9" t="str">
        <f>IFERROR(__xludf.DUMMYFUNCTION("""ANV: ""&amp;IFERROR(INDEX(FILTER(VOOS!$AL:$AL, (VOOS!$B:$B=""ROTA""),(VOOS!$AP:$AP&lt;&gt;""REALIZADO""),(VOOS!$AP:$AP&lt;&gt;""ABORTIVA"")),1),"""")
"),"ANV: ")</f>
        <v>ANV: </v>
      </c>
      <c r="K8" s="1"/>
      <c r="L8" s="12" t="str">
        <f>IFERROR(__xludf.DUMMYFUNCTION("""TRIP:""&amp;IFERROR(IF(INDEX(FILTER(VOOS!$I:$I, (VOOS!$B:$B=""ROTA""),(VOOS!$AP:$AP&lt;&gt;""REALIZADO""),(VOOS!$AP:$AP&lt;&gt;""ABORTIVA"")),2)="""","" -"",
          TEXT(INDEX(FILTER(VOOS!$I:$I, (VOOS!$B:$B=""ROTA""),(VOOS!$AP:$AP&lt;&gt;""REALIZADO""),(VOOS!$AP:$AP&lt;&gt;""AB"&amp;"ORTIVA"")),2),""HH:MM"")))
"),"TRIP:")</f>
        <v>TRIP:</v>
      </c>
      <c r="Q8" s="9" t="str">
        <f>IFERROR(__xludf.DUMMYFUNCTION("""ANV: ""&amp;IFERROR(INDEX(FILTER(VOOS!$AL:$AL, (VOOS!$B:$B=""ROTA""),(VOOS!$AP:$AP&lt;&gt;""REALIZADO""),(VOOS!$AP:$AP&lt;&gt;""ABORTIVA"")),2),"""")
"),"ANV: ")</f>
        <v>ANV: </v>
      </c>
      <c r="U8" s="1"/>
      <c r="V8" s="12" t="str">
        <f>IFERROR(__xludf.DUMMYFUNCTION("""TRIP:""&amp;IFERROR(IF(INDEX(FILTER(VOOS!$I:$I, (VOOS!$B:$B=""ROTA""),(VOOS!$AP:$AP&lt;&gt;""REALIZADO""),(VOOS!$AP:$AP&lt;&gt;""ABORTIVA"")),3)="""","" -"",
          TEXT(INDEX(FILTER(VOOS!$I:$I, (VOOS!$B:$B=""ROTA""),(VOOS!$AP:$AP&lt;&gt;""REALIZADO""),(VOOS!$AP:$AP&lt;&gt;""AB"&amp;"ORTIVA"")),3),""HH:MM"")))
"),"TRIP:")</f>
        <v>TRIP:</v>
      </c>
      <c r="AA8" s="9" t="str">
        <f>IFERROR(__xludf.DUMMYFUNCTION("""ANV: ""&amp;IFERROR(INDEX(FILTER(VOOS!$AL:$AL, (VOOS!$B:$B=""ROTA""),(VOOS!$AP:$AP&lt;&gt;""REALIZADO""),(VOOS!$AP:$AP&lt;&gt;""ABORTIVA"")),3),"""")
"),"ANV: ")</f>
        <v>ANV: </v>
      </c>
      <c r="AE8" s="1"/>
      <c r="AF8" s="12" t="str">
        <f>IFERROR(__xludf.DUMMYFUNCTION("""TRIP:""&amp;IFERROR(IF(INDEX(FILTER(VOOS!$I:$I, (VOOS!$B:$B=""ROTA""),(VOOS!$AP:$AP&lt;&gt;""REALIZADO""),(VOOS!$AP:$AP&lt;&gt;""ABORTIVA"")),4)="""","" -"",
          TEXT(INDEX(FILTER(VOOS!$I:$I, (VOOS!$B:$B=""ROTA""),(VOOS!$AP:$AP&lt;&gt;""REALIZADO""),(VOOS!$AP:$AP&lt;&gt;""AB"&amp;"ORTIVA"")),4),""HH:MM"")))
"),"TRIP:")</f>
        <v>TRIP:</v>
      </c>
      <c r="AK8" s="9" t="str">
        <f>IFERROR(__xludf.DUMMYFUNCTION("""ANV: ""&amp;IFERROR(INDEX(FILTER(VOOS!$AL:$AL, (VOOS!$B:$B=""ROTA""),(VOOS!$AP:$AP&lt;&gt;""REALIZADO""),(VOOS!$AP:$AP&lt;&gt;""ABORTIVA"")),4),"""")
"),"ANV: ")</f>
        <v>ANV: </v>
      </c>
      <c r="AO8" s="1"/>
      <c r="AP8" s="7" t="s">
        <v>9</v>
      </c>
      <c r="AR8" s="10">
        <f>IFERROR(__xludf.DUMMYFUNCTION("IMPORTRANGE('Referências'!$B$5,""EA C98!K2"")"),1.5243055555555571)</f>
        <v>1.524305556</v>
      </c>
      <c r="AT8" s="10">
        <f>IFERROR(__xludf.DUMMYFUNCTION("IMPORTRANGE('Referências'!$B$5,""EA C98!K3"")"),0.0)</f>
        <v>0</v>
      </c>
      <c r="AV8" s="1"/>
      <c r="BE8" s="1"/>
    </row>
    <row r="9" ht="15.0" customHeight="1">
      <c r="A9" s="1"/>
      <c r="G9" s="9" t="str">
        <f>IFERROR(__xludf.DUMMYFUNCTION("""TEV: ""&amp;IFERROR(IF(INDEX(FILTER(VOOS!$AE:$AE, (VOOS!$B:$B=""ROTA""),(VOOS!$AP:$AP&lt;&gt;""REALIZADO""),(VOOS!$AP:$AP&lt;&gt;""ABORTIVA"")),1)="""",""-"",
         TEXT(INDEX(FILTER(VOOS!$AE:$AE, (VOOS!$B:$B=""ROTA""),(VOOS!$AP:$AP&lt;&gt;""REALIZADO""),(VOOS!$AP:$AP&lt;&gt;"""&amp;"ABORTIVA"")),1),""HH:MM"")))
"),"TEV: ")</f>
        <v>TEV: </v>
      </c>
      <c r="K9" s="1"/>
      <c r="Q9" s="9" t="str">
        <f>IFERROR(__xludf.DUMMYFUNCTION("""TEV: ""&amp;IFERROR(IF(INDEX(FILTER(VOOS!$AE:$AE, (VOOS!$B:$B=""ROTA""),(VOOS!$AP:$AP&lt;&gt;""REALIZADO""),(VOOS!$AP:$AP&lt;&gt;""ABORTIVA"")),2)="""",""-"",
         TEXT(INDEX(FILTER(VOOS!$AE:$AE, (VOOS!$B:$B=""ROTA""),(VOOS!$AP:$AP&lt;&gt;""REALIZADO""),(VOOS!$AP:$AP&lt;&gt;"""&amp;"ABORTIVA"")),2),""HH:MM"")))
"),"TEV: ")</f>
        <v>TEV: </v>
      </c>
      <c r="U9" s="1"/>
      <c r="AA9" s="9" t="str">
        <f>IFERROR(__xludf.DUMMYFUNCTION("""TEV: ""&amp;IFERROR(IF(INDEX(FILTER(VOOS!$AE:$AE, (VOOS!$B:$B=""ROTA""),(VOOS!$AP:$AP&lt;&gt;""REALIZADO""),(VOOS!$AP:$AP&lt;&gt;""ABORTIVA"")),3)="""",""-"",
         TEXT(INDEX(FILTER(VOOS!$AE:$AE, (VOOS!$B:$B=""ROTA""),(VOOS!$AP:$AP&lt;&gt;""REALIZADO""),(VOOS!$AP:$AP&lt;&gt;"""&amp;"ABORTIVA"")),3),""HH:MM"")))
"),"TEV: ")</f>
        <v>TEV: </v>
      </c>
      <c r="AE9" s="1"/>
      <c r="AK9" s="9" t="str">
        <f>IFERROR(__xludf.DUMMYFUNCTION("""TEV: ""&amp;IFERROR(IF(INDEX(FILTER(VOOS!$AE:$AE, (VOOS!$B:$B=""ROTA""),(VOOS!$AP:$AP&lt;&gt;""REALIZADO""),(VOOS!$AP:$AP&lt;&gt;""ABORTIVA"")),4)="""",""-"",
         TEXT(INDEX(FILTER(VOOS!$AE:$AE, (VOOS!$B:$B=""ROTA""),(VOOS!$AP:$AP&lt;&gt;""REALIZADO""),(VOOS!$AP:$AP&lt;&gt;"""&amp;"ABORTIVA"")),4),""HH:MM"")))
"),"TEV: ")</f>
        <v>TEV: </v>
      </c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ht="15.0" customHeight="1">
      <c r="A10" s="1"/>
      <c r="B10" s="13" t="str">
        <f>IFERROR(__xludf.DUMMYFUNCTION("IFERROR(""➡️ ""&amp;INDEX(FILTER(VOOS!$S:$S, (VOOS!$B:$B=""ROTA""),(VOOS!$AP:$AP&lt;&gt;""REALIZADO""),(VOOS!$AP:$AP&lt;&gt;""ABORTIVA"")),1),"""")
"),"")</f>
        <v/>
      </c>
      <c r="K10" s="1"/>
      <c r="L10" s="13" t="str">
        <f>IFERROR(__xludf.DUMMYFUNCTION("IFERROR(""➡️ ""&amp;INDEX(FILTER(VOOS!$S:$S, (VOOS!$B:$B=""ROTA""),(VOOS!$AP:$AP&lt;&gt;""REALIZADO""),(VOOS!$AP:$AP&lt;&gt;""ABORTIVA"")),2),"""")
"),"")</f>
        <v/>
      </c>
      <c r="U10" s="1"/>
      <c r="V10" s="13" t="str">
        <f>IFERROR(__xludf.DUMMYFUNCTION("IFERROR(""➡️ ""&amp;INDEX(FILTER(VOOS!$S:$S, (VOOS!$B:$B=""ROTA""),(VOOS!$AP:$AP&lt;&gt;""REALIZADO""),(VOOS!$AP:$AP&lt;&gt;""ABORTIVA"")),3),"""")
"),"")</f>
        <v/>
      </c>
      <c r="AE10" s="1"/>
      <c r="AF10" s="13" t="str">
        <f>IFERROR(__xludf.DUMMYFUNCTION("IFERROR(""➡️ ""&amp;INDEX(FILTER(VOOS!$S:$S, (VOOS!$B:$B=""ROTA""),(VOOS!$AP:$AP&lt;&gt;""REALIZADO""),(VOOS!$AP:$AP&lt;&gt;""ABORTIVA"")),4),"""")
"),"")</f>
        <v/>
      </c>
      <c r="AO10" s="1"/>
      <c r="AP10" s="1"/>
      <c r="AQ10" s="1"/>
      <c r="AR10" s="6" t="s">
        <v>10</v>
      </c>
      <c r="BC10" s="1"/>
      <c r="BD10" s="1"/>
      <c r="BE10" s="1"/>
    </row>
    <row r="11" ht="15.0" customHeight="1">
      <c r="A11" s="1"/>
      <c r="K11" s="1"/>
      <c r="U11" s="1"/>
      <c r="AE11" s="1"/>
      <c r="AO11" s="1"/>
      <c r="AP11" s="1"/>
      <c r="AQ11" s="1"/>
      <c r="AR11" s="7" t="s">
        <v>7</v>
      </c>
      <c r="AU11" s="7" t="s">
        <v>8</v>
      </c>
      <c r="AX11" s="7" t="s">
        <v>9</v>
      </c>
      <c r="BA11" s="7" t="s">
        <v>11</v>
      </c>
      <c r="BC11" s="1"/>
      <c r="BD11" s="1"/>
      <c r="BE11" s="1"/>
    </row>
    <row r="12" ht="15.0" customHeight="1">
      <c r="A12" s="1"/>
      <c r="B12" s="14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5" t="s">
        <v>12</v>
      </c>
      <c r="AS12" s="10" t="str">
        <f>IFERROR(__xludf.DUMMYFUNCTION("IFERROR(INDEX(IMPORTRANGE('Referências'!$B$2,""Pilotos!A5:I""),
MATCH(
INDEX(IMPORTRANGE('Referências'!$B$5,""Pau de Sebo C95!B3:B""),
MATCH(LARGE(IMPORTRANGE('Referências'!$B$5,""Pau de Sebo C95!J3:J""),1),
IMPORTRANGE('Referências'!$B$5,""Pau de Sebo C9"&amp;"5!J3:J""),0),1),
IMPORTRANGE('Referências'!$B$2,""Pilotos!A5:A""),0),9))
&amp;CHAR(10)&amp;
TEXT(LARGE(IMPORTRANGE('Referências'!$B$5,""Pau de Sebo C95!J3:J""),1),""[hh]:mm"")
"),"MHL
129:25")</f>
        <v>MHL
129:25</v>
      </c>
      <c r="AU12" s="15" t="s">
        <v>12</v>
      </c>
      <c r="AV12" s="10" t="str">
        <f>IFERROR(__xludf.DUMMYFUNCTION("IFERROR(INDEX(IMPORTRANGE('Referências'!$B$2,""Pilotos!A5:I""),
MATCH(
INDEX(IMPORTRANGE('Referências'!$B$5,""Pau de Sebo C97!B3:B""),
MATCH(LARGE(IMPORTRANGE('Referências'!$B$5,""Pau de Sebo C97!J3:J""),1),
IMPORTRANGE('Referências'!$B$5,""Pau de Sebo C9"&amp;"7!J3:J""),0),1),
IMPORTRANGE('Referências'!$B$2,""Pilotos!A5:A""),0),9))
&amp;CHAR(10)&amp;
TEXT(LARGE(IMPORTRANGE('Referências'!$B$5,""Pau de Sebo C97!J3:J""),1),""[hh]:mm"")
"),"LPS
127:40")</f>
        <v>LPS
127:40</v>
      </c>
      <c r="AX12" s="15" t="s">
        <v>12</v>
      </c>
      <c r="AY12" s="10" t="str">
        <f>IFERROR(__xludf.DUMMYFUNCTION("IFERROR(INDEX(IMPORTRANGE('Referências'!$B$2,""Pilotos!A5:I""),
MATCH(
INDEX(IMPORTRANGE('Referências'!$B$5,""Pau de Sebo C98!B3:B""),
MATCH(LARGE(IMPORTRANGE('Referências'!$B$5,""Pau de Sebo C98!J3:J""),1),
IMPORTRANGE('Referências'!$B$5,""Pau de Sebo C9"&amp;"8!J3:J""),0),1),
IMPORTRANGE('Referências'!$B$2,""Pilotos!A5:A""),0),9))
&amp;CHAR(10)&amp;
TEXT(LARGE(IMPORTRANGE('Referências'!$B$5,""Pau de Sebo C98!J3:J""),1),""[hh]:mm"")
"),"CNI
133:40")</f>
        <v>CNI
133:40</v>
      </c>
      <c r="BA12" s="16" t="s">
        <v>13</v>
      </c>
      <c r="BC12" s="1"/>
      <c r="BD12" s="1"/>
      <c r="BE12" s="1"/>
    </row>
    <row r="13" ht="15.0" customHeight="1">
      <c r="A13" s="1"/>
      <c r="B13" s="4" t="s">
        <v>14</v>
      </c>
      <c r="G13" s="5" t="str">
        <f>IFERROR(__xludf.DUMMYFUNCTION("IFERROR(INDEX(FILTER(VOOS!$AP:$AP, (VOOS!$B:$B=""LOCAL""),(VOOS!$AP:$AP&lt;&gt;""REALIZADO""),(VOOS!$AP:$AP&lt;&gt;""ABORTIVA"")),1),"""")"),"")</f>
        <v/>
      </c>
      <c r="K13" s="1"/>
      <c r="L13" s="4" t="s">
        <v>14</v>
      </c>
      <c r="Q13" s="5" t="str">
        <f>IFERROR(__xludf.DUMMYFUNCTION("IFERROR(INDEX(FILTER(VOOS!$AP:$AP, (VOOS!$B:$B=""LOCAL""),(VOOS!$AP:$AP&lt;&gt;""REALIZADO""),(VOOS!$AP:$AP&lt;&gt;""ABORTIVA"")),2),"""")"),"")</f>
        <v/>
      </c>
      <c r="U13" s="1"/>
      <c r="V13" s="4" t="s">
        <v>14</v>
      </c>
      <c r="AA13" s="5" t="str">
        <f>IFERROR(__xludf.DUMMYFUNCTION("IFERROR(INDEX(FILTER(VOOS!$AP:$AP, (VOOS!$B:$B=""LOCAL""),(VOOS!$AP:$AP&lt;&gt;""REALIZADO""),(VOOS!$AP:$AP&lt;&gt;""ABORTIVA"")),3),"""")"),"")</f>
        <v/>
      </c>
      <c r="AE13" s="1"/>
      <c r="AF13" s="4" t="s">
        <v>14</v>
      </c>
      <c r="AK13" s="5" t="str">
        <f>IFERROR(__xludf.DUMMYFUNCTION("IFERROR(INDEX(FILTER(VOOS!$AP:$AP, (VOOS!$B:$B=""LOCAL""),(VOOS!$AP:$AP&lt;&gt;""REALIZADO""),(VOOS!$AP:$AP&lt;&gt;""ABORTIVA"")),4),"""")"),"")</f>
        <v/>
      </c>
      <c r="AO13" s="1"/>
      <c r="AP13" s="1"/>
      <c r="AQ13" s="1"/>
      <c r="BC13" s="1"/>
      <c r="BD13" s="1"/>
      <c r="BE13" s="1"/>
    </row>
    <row r="14" ht="15.0" customHeight="1">
      <c r="A14" s="1"/>
      <c r="K14" s="1"/>
      <c r="U14" s="1"/>
      <c r="AE14" s="1"/>
      <c r="AO14" s="1"/>
      <c r="AP14" s="1"/>
      <c r="AQ14" s="1"/>
      <c r="AR14" s="15" t="s">
        <v>15</v>
      </c>
      <c r="AS14" s="10" t="str">
        <f>IFERROR(__xludf.DUMMYFUNCTION("IFERROR(INDEX(IMPORTRANGE('Referências'!$B$2,""Pilotos!A5:I""),
MATCH(
INDEX(IMPORTRANGE('Referências'!$B$5,""Pau de Sebo C95!B3:B""),
MATCH(LARGE(IMPORTRANGE('Referências'!$B$5,""Pau de Sebo C95!J3:J""),2),
IMPORTRANGE('Referências'!$B$5,""Pau de Sebo C9"&amp;"5!J3:J""),0),1),
IMPORTRANGE('Referências'!$B$2,""Pilotos!A5:A""),0),9))
&amp;CHAR(10)&amp;
TEXT(LARGE(IMPORTRANGE('Referências'!$B$5,""Pau de Sebo C95!J3:J""),2),""[hh]:mm"")
"),"BRJ
120:45")</f>
        <v>BRJ
120:45</v>
      </c>
      <c r="AU14" s="15" t="s">
        <v>15</v>
      </c>
      <c r="AV14" s="10" t="str">
        <f>IFERROR(__xludf.DUMMYFUNCTION("IFERROR(INDEX(IMPORTRANGE('Referências'!$B$2,""Pilotos!A5:I""),
MATCH(
INDEX(IMPORTRANGE('Referências'!$B$5,""Pau de Sebo C97!B3:B""),
MATCH(LARGE(IMPORTRANGE('Referências'!$B$5,""Pau de Sebo C97!J3:J""),2),
IMPORTRANGE('Referências'!$B$5,""Pau de Sebo C9"&amp;"7!J3:J""),0),1),
IMPORTRANGE('Referências'!$B$2,""Pilotos!A5:A""),0),9))
&amp;CHAR(10)&amp;
TEXT(LARGE(IMPORTRANGE('Referências'!$B$5,""Pau de Sebo C97!J3:J""),2),""[hh]:mm"")
"),"SEI
119:05")</f>
        <v>SEI
119:05</v>
      </c>
      <c r="AX14" s="15" t="s">
        <v>15</v>
      </c>
      <c r="AY14" s="10" t="str">
        <f>IFERROR(__xludf.DUMMYFUNCTION("IFERROR(INDEX(IMPORTRANGE('Referências'!$B$2,""Pilotos!A5:I""),
MATCH(
INDEX(IMPORTRANGE('Referências'!$B$5,""Pau de Sebo C98!B3:B""),
MATCH(LARGE(IMPORTRANGE('Referências'!$B$5,""Pau de Sebo C98!J3:J""),2),
IMPORTRANGE('Referências'!$B$5,""Pau de Sebo C9"&amp;"8!J3:J""),0),1),
IMPORTRANGE('Referências'!$B$2,""Pilotos!A5:A""),0),9))
&amp;CHAR(10)&amp;
TEXT(LARGE(IMPORTRANGE('Referências'!$B$5,""Pau de Sebo C98!J3:J""),2),""[hh]:mm"")
"),"SLS
112:30")</f>
        <v>SLS
112:30</v>
      </c>
      <c r="BA14" s="17" t="str">
        <f>IFERROR(__xludf.DUMMYFUNCTION("IFERROR(INDEX(IMPORTRANGE('Referências'!B2,""Pilotos!A5:I""),
MATCH(
INDEX(IMPORTRANGE('Referências'!B5,""Pau de sebo pilotos!B3:B""),
MATCH(LARGE(IMPORTRANGE('Referências'!B5,""Pau de sebo pilotos!F3:F""),1),
IMPORTRANGE('Referências'!B5,""Pau de sebo pi"&amp;"lotos!F3:F""),0),1),
IMPORTRANGE('Referências'!B2,""Pilotos!A5:A""),0),9))
&amp;CHAR(10)&amp;
TEXT(LARGE(IMPORTRANGE('Referências'!B5,""Pau de sebo pilotos!F3:F""),1),""[hh]:mm"")
"),"MHL
168:10")</f>
        <v>MHL
168:10</v>
      </c>
      <c r="BC14" s="1"/>
      <c r="BD14" s="1"/>
      <c r="BE14" s="1"/>
    </row>
    <row r="15" ht="15.0" customHeight="1">
      <c r="A15" s="1"/>
      <c r="B15" s="9" t="str">
        <f>IFERROR(__xludf.DUMMYFUNCTION("""DATA: ""&amp;IFERROR(IF(INDEX(FILTER(VOOS!$C:$C, (VOOS!$B:$B=""LOCAL""),(VOOS!$AP:$AP&lt;&gt;""REALIZADO""),(VOOS!$AP:$AP&lt;&gt;""ABORTIVA"")),1)="""",""-"",
          TEXT(INDEX(FILTER(VOOS!$C:$C, (VOOS!$B:$B=""LOCAL""),(VOOS!$AP:$AP&lt;&gt;""REALIZADO""),(VOOS!$AP:$AP&lt;&gt;"""&amp;"ABORTIVA"")),1),""DD/MM/YY"")))
"),"DATA: ")</f>
        <v>DATA: </v>
      </c>
      <c r="G15" s="9" t="str">
        <f>IFERROR(__xludf.DUMMYFUNCTION("""OI: ""&amp;IFERROR(INDEX(FILTER(VOOS!$AG:$AG, (VOOS!$B:$B=""LOCAL""),(VOOS!$AP:$AP&lt;&gt;""REALIZADO""),(VOOS!$AP:$AP&lt;&gt;""ABORTIVA"")),1),"""")
"),"OI: ")</f>
        <v>OI: </v>
      </c>
      <c r="K15" s="1"/>
      <c r="L15" s="9" t="str">
        <f>IFERROR(__xludf.DUMMYFUNCTION("""DATA: ""&amp;IFERROR(IF(INDEX(FILTER(VOOS!$C:$C, (VOOS!$B:$B=""LOCAL""),(VOOS!$AP:$AP&lt;&gt;""REALIZADO""),(VOOS!$AP:$AP&lt;&gt;""ABORTIVA"")),2)="""",""-"",
          TEXT(INDEX(FILTER(VOOS!$C:$C, (VOOS!$B:$B=""LOCAL""),(VOOS!$AP:$AP&lt;&gt;""REALIZADO""),(VOOS!$AP:$AP&lt;&gt;"""&amp;"ABORTIVA"")),2),""DD/MM/YY"")))
"),"DATA: ")</f>
        <v>DATA: </v>
      </c>
      <c r="Q15" s="9" t="str">
        <f>IFERROR(__xludf.DUMMYFUNCTION("""OI: ""&amp;IFERROR(INDEX(FILTER(VOOS!$AG:$AG, (VOOS!$B:$B=""LOCAL""),(VOOS!$AP:$AP&lt;&gt;""REALIZADO""),(VOOS!$AP:$AP&lt;&gt;""ABORTIVA"")),2),"""")
"),"OI: ")</f>
        <v>OI: </v>
      </c>
      <c r="U15" s="1"/>
      <c r="V15" s="9" t="str">
        <f>IFERROR(__xludf.DUMMYFUNCTION("""DATA: ""&amp;IFERROR(IF(INDEX(FILTER(VOOS!$C:$C, (VOOS!$B:$B=""LOCAL""),(VOOS!$AP:$AP&lt;&gt;""REALIZADO""),(VOOS!$AP:$AP&lt;&gt;""ABORTIVA"")),3)="""",""-"",
          TEXT(INDEX(FILTER(VOOS!$C:$C, (VOOS!$B:$B=""LOCAL""),(VOOS!$AP:$AP&lt;&gt;""REALIZADO""),(VOOS!$AP:$AP&lt;&gt;"""&amp;"ABORTIVA"")),3),""DD/MM/YY"")))
"),"DATA: ")</f>
        <v>DATA: </v>
      </c>
      <c r="AA15" s="9" t="str">
        <f>IFERROR(__xludf.DUMMYFUNCTION("""OI: ""&amp;IFERROR(INDEX(FILTER(VOOS!$AG:$AG, (VOOS!$B:$B=""LOCAL""),(VOOS!$AP:$AP&lt;&gt;""REALIZADO""),(VOOS!$AP:$AP&lt;&gt;""ABORTIVA"")),3),"""")
"),"OI: ")</f>
        <v>OI: </v>
      </c>
      <c r="AE15" s="1"/>
      <c r="AF15" s="9" t="str">
        <f>IFERROR(__xludf.DUMMYFUNCTION("""DATA: ""&amp;IFERROR(IF(INDEX(FILTER(VOOS!$C:$C, (VOOS!$B:$B=""LOCAL""),(VOOS!$AP:$AP&lt;&gt;""REALIZADO""),(VOOS!$AP:$AP&lt;&gt;""ABORTIVA"")),4)="""",""-"",
          TEXT(INDEX(FILTER(VOOS!$C:$C, (VOOS!$B:$B=""LOCAL""),(VOOS!$AP:$AP&lt;&gt;""REALIZADO""),(VOOS!$AP:$AP&lt;&gt;"""&amp;"ABORTIVA"")),4),""DD/MM/YY"")))
"),"DATA: ")</f>
        <v>DATA: </v>
      </c>
      <c r="AK15" s="9" t="str">
        <f>IFERROR(__xludf.DUMMYFUNCTION("""OI: ""&amp;IFERROR(INDEX(FILTER(VOOS!$AG:$AG, (VOOS!$B:$B=""LOCAL""),(VOOS!$AP:$AP&lt;&gt;""REALIZADO""),(VOOS!$AP:$AP&lt;&gt;""ABORTIVA"")),4),"""")
"),"OI: ")</f>
        <v>OI: </v>
      </c>
      <c r="AO15" s="1"/>
      <c r="AP15" s="1"/>
      <c r="AQ15" s="1"/>
      <c r="BC15" s="1"/>
      <c r="BD15" s="1"/>
      <c r="BE15" s="1"/>
    </row>
    <row r="16" ht="15.0" customHeight="1">
      <c r="A16" s="1"/>
      <c r="B16" s="9" t="str">
        <f>IFERROR(__xludf.DUMMYFUNCTION("""HORA(Z): ""&amp;IFERROR(IF(INDEX(FILTER(VOOS!$F:$F, (VOOS!$B:$B=""LOCAL""),(VOOS!$AP:$AP&lt;&gt;""REALIZADO""),(VOOS!$AP:$AP&lt;&gt;""ABORTIVA"")),1)="""",""-"",
             TEXT(INDEX(FILTER(VOOS!$F:$F, (VOOS!$B:$B=""LOCAL""),(VOOS!$AP:$AP&lt;&gt;""REALIZADO""),(VOOS!$AP:$"&amp;"AP&lt;&gt;""ABORTIVA"")),1),""HH:MM"")))"),"HORA(Z): ")</f>
        <v>HORA(Z): </v>
      </c>
      <c r="G16" s="9" t="str">
        <f>IFERROR(__xludf.DUMMYFUNCTION("""OMIS: ""&amp;IFERROR(INDEX(FILTER(VOOS!$AJ:$AJ, (VOOS!$B:$B=""LOCAL""),(VOOS!$AP:$AP&lt;&gt;""REALIZADO""),(VOOS!$AP:$AP&lt;&gt;""ABORTIVA"")),1),"""")
"),"OMIS: ")</f>
        <v>OMIS: </v>
      </c>
      <c r="K16" s="1"/>
      <c r="L16" s="9" t="str">
        <f>IFERROR(__xludf.DUMMYFUNCTION("""HORA(Z): ""&amp;IFERROR(IF(INDEX(FILTER(VOOS!$F:$F, (VOOS!$B:$B=""LOCAL""),(VOOS!$AP:$AP&lt;&gt;""REALIZADO""),(VOOS!$AP:$AP&lt;&gt;""ABORTIVA"")),2)="""",""-"",
             TEXT(INDEX(FILTER(VOOS!$F:$F, (VOOS!$B:$B=""LOCAL""),(VOOS!$AP:$AP&lt;&gt;""REALIZADO""),(VOOS!$AP:$"&amp;"AP&lt;&gt;""ABORTIVA"")),2),""HH:MM"")))"),"HORA(Z): ")</f>
        <v>HORA(Z): </v>
      </c>
      <c r="Q16" s="9" t="str">
        <f>IFERROR(__xludf.DUMMYFUNCTION("""OMIS: ""&amp;IFERROR(INDEX(FILTER(VOOS!$AJ:$AJ, (VOOS!$B:$B=""LOCAL""),(VOOS!$AP:$AP&lt;&gt;""REALIZADO""),(VOOS!$AP:$AP&lt;&gt;""ABORTIVA"")),2),"""")
"),"OMIS: ")</f>
        <v>OMIS: </v>
      </c>
      <c r="U16" s="1"/>
      <c r="V16" s="9" t="str">
        <f>IFERROR(__xludf.DUMMYFUNCTION("""HORA(Z): ""&amp;IFERROR(IF(INDEX(FILTER(VOOS!$F:$F, (VOOS!$B:$B=""LOCAL""),(VOOS!$AP:$AP&lt;&gt;""REALIZADO""),(VOOS!$AP:$AP&lt;&gt;""ABORTIVA"")),3)="""",""-"",
             TEXT(INDEX(FILTER(VOOS!$F:$F, (VOOS!$B:$B=""LOCAL""),(VOOS!$AP:$AP&lt;&gt;""REALIZADO""),(VOOS!$AP:$"&amp;"AP&lt;&gt;""ABORTIVA"")),3),""HH:MM"")))"),"HORA(Z): ")</f>
        <v>HORA(Z): </v>
      </c>
      <c r="AA16" s="9" t="str">
        <f>IFERROR(__xludf.DUMMYFUNCTION("""OMIS: ""&amp;IFERROR(INDEX(FILTER(VOOS!$AJ:$AJ, (VOOS!$B:$B=""LOCAL""),(VOOS!$AP:$AP&lt;&gt;""REALIZADO""),(VOOS!$AP:$AP&lt;&gt;""ABORTIVA"")),3),"""")
"),"OMIS: ")</f>
        <v>OMIS: </v>
      </c>
      <c r="AE16" s="1"/>
      <c r="AF16" s="9" t="str">
        <f>IFERROR(__xludf.DUMMYFUNCTION("""HORA(Z): ""&amp;IFERROR(IF(INDEX(FILTER(VOOS!$F:$F, (VOOS!$B:$B=""LOCAL""),(VOOS!$AP:$AP&lt;&gt;""REALIZADO""),(VOOS!$AP:$AP&lt;&gt;""ABORTIVA"")),4)="""",""-"",
             TEXT(INDEX(FILTER(VOOS!$F:$F, (VOOS!$B:$B=""LOCAL""),(VOOS!$AP:$AP&lt;&gt;""REALIZADO""),(VOOS!$AP:$"&amp;"AP&lt;&gt;""ABORTIVA"")),4),""HH:MM"")))"),"HORA(Z): ")</f>
        <v>HORA(Z): </v>
      </c>
      <c r="AK16" s="9" t="str">
        <f>IFERROR(__xludf.DUMMYFUNCTION("""OMIS: ""&amp;IFERROR(INDEX(FILTER(VOOS!$AJ:$AJ, (VOOS!$B:$B=""LOCAL""),(VOOS!$AP:$AP&lt;&gt;""REALIZADO""),(VOOS!$AP:$AP&lt;&gt;""ABORTIVA"")),4),"""")
"),"OMIS: ")</f>
        <v>OMIS: </v>
      </c>
      <c r="AO16" s="1"/>
      <c r="AP16" s="1"/>
      <c r="AQ16" s="1"/>
      <c r="AR16" s="15" t="s">
        <v>16</v>
      </c>
      <c r="AS16" s="10" t="str">
        <f>IFERROR(__xludf.DUMMYFUNCTION("IFERROR(INDEX(IMPORTRANGE('Referências'!$B$2,""Pilotos!A5:I""),
MATCH(
INDEX(IMPORTRANGE('Referências'!$B$5,""Pau de Sebo C95!B3:B""),
MATCH(LARGE(IMPORTRANGE('Referências'!$B$5,""Pau de Sebo C95!J3:J""),3),
IMPORTRANGE('Referências'!$B$5,""Pau de Sebo C9"&amp;"5!J3:J""),0),1),
IMPORTRANGE('Referências'!$B$2,""Pilotos!A5:A""),0),9))
&amp;CHAR(10)&amp;
TEXT(LARGE(IMPORTRANGE('Referências'!$B$5,""Pau de Sebo C95!J3:J""),3),""[hh]:mm"")
"),"KVN
118:15")</f>
        <v>KVN
118:15</v>
      </c>
      <c r="AU16" s="15" t="s">
        <v>16</v>
      </c>
      <c r="AV16" s="10" t="str">
        <f>IFERROR(__xludf.DUMMYFUNCTION("IFERROR(INDEX(IMPORTRANGE('Referências'!$B$2,""Pilotos!A5:I""),
MATCH(
INDEX(IMPORTRANGE('Referências'!$B$5,""Pau de Sebo C97!B3:B""),
MATCH(LARGE(IMPORTRANGE('Referências'!$B$5,""Pau de Sebo C97!J3:J""),3),
IMPORTRANGE('Referências'!$B$5,""Pau de Sebo C9"&amp;"7!J3:J""),0),1),
IMPORTRANGE('Referências'!$B$2,""Pilotos!A5:A""),0),9))
&amp;CHAR(10)&amp;
TEXT(LARGE(IMPORTRANGE('Referências'!$B$5,""Pau de Sebo C97!J3:J""),3),""[hh]:mm"")
"),"MAT
116:15")</f>
        <v>MAT
116:15</v>
      </c>
      <c r="AX16" s="15" t="s">
        <v>16</v>
      </c>
      <c r="AY16" s="10" t="str">
        <f>IFERROR(__xludf.DUMMYFUNCTION("IFERROR(INDEX(IMPORTRANGE('Referências'!$B$2,""Pilotos!A5:I""),
MATCH(
INDEX(IMPORTRANGE('Referências'!$B$5,""Pau de Sebo C98!B3:B""),
MATCH(LARGE(IMPORTRANGE('Referências'!$B$5,""Pau de Sebo C98!J3:J""),3),
IMPORTRANGE('Referências'!$B$5,""Pau de Sebo C9"&amp;"8!J3:J""),0),1),
IMPORTRANGE('Referências'!$B$2,""Pilotos!A5:A""),0),9))
&amp;CHAR(10)&amp;
TEXT(LARGE(IMPORTRANGE('Referências'!$B$5,""Pau de Sebo C98!J3:J""),3),""[hh]:mm"")
"),"CFF
111:00")</f>
        <v>CFF
111:00</v>
      </c>
      <c r="BC16" s="1"/>
      <c r="BD16" s="1"/>
      <c r="BE16" s="1"/>
    </row>
    <row r="17" ht="15.0" customHeight="1">
      <c r="A17" s="1"/>
      <c r="B17" s="12" t="str">
        <f>IFERROR(__xludf.DUMMYFUNCTION("""TRIP:""&amp;IFERROR(IF(INDEX(FILTER(VOOS!$I:$I, (VOOS!$B:$B=""LOCAL""),(VOOS!$AP:$AP&lt;&gt;""REALIZADO""),(VOOS!$AP:$AP&lt;&gt;""ABORTIVA"")),1)="""","" -"",
          TEXT(INDEX(FILTER(VOOS!$I:$I, (VOOS!$B:$B=""LOCAL""),(VOOS!$AP:$AP&lt;&gt;""REALIZADO""),(VOOS!$AP:$AP&lt;&gt;"""&amp;"ABORTIVA"")),1),""HH:MM"")))"),"TRIP:")</f>
        <v>TRIP:</v>
      </c>
      <c r="G17" s="9" t="str">
        <f>IFERROR(__xludf.DUMMYFUNCTION("""ANV: ""&amp;IFERROR(INDEX(FILTER(VOOS!$AL:$AL, (VOOS!$B:$B=""LOCAL""),(VOOS!$AP:$AP&lt;&gt;""REALIZADO""),(VOOS!$AP:$AP&lt;&gt;""ABORTIVA"")),1),"""")
"),"ANV: ")</f>
        <v>ANV: </v>
      </c>
      <c r="K17" s="1"/>
      <c r="L17" s="12" t="str">
        <f>IFERROR(__xludf.DUMMYFUNCTION("""TRIP:""&amp;IFERROR(IF(INDEX(FILTER(VOOS!$I:$I, (VOOS!$B:$B=""LOCAL""),(VOOS!$AP:$AP&lt;&gt;""REALIZADO""),(VOOS!$AP:$AP&lt;&gt;""ABORTIVA"")),2)="""","" -"",
          TEXT(INDEX(FILTER(VOOS!$I:$I, (VOOS!$B:$B=""LOCAL""),(VOOS!$AP:$AP&lt;&gt;""REALIZADO""),(VOOS!$AP:$AP&lt;&gt;"""&amp;"ABORTIVA"")),2),""HH:MM"")))"),"TRIP:")</f>
        <v>TRIP:</v>
      </c>
      <c r="Q17" s="9" t="str">
        <f>IFERROR(__xludf.DUMMYFUNCTION("""ANV: ""&amp;IFERROR(INDEX(FILTER(VOOS!$AL:$AL, (VOOS!$B:$B=""LOCAL""),(VOOS!$AP:$AP&lt;&gt;""REALIZADO""),(VOOS!$AP:$AP&lt;&gt;""ABORTIVA"")),2),"""")
"),"ANV: ")</f>
        <v>ANV: </v>
      </c>
      <c r="U17" s="1"/>
      <c r="V17" s="12" t="str">
        <f>IFERROR(__xludf.DUMMYFUNCTION("""TRIP:""&amp;IFERROR(IF(INDEX(FILTER(VOOS!$I:$I, (VOOS!$B:$B=""LOCAL""),(VOOS!$AP:$AP&lt;&gt;""REALIZADO""),(VOOS!$AP:$AP&lt;&gt;""ABORTIVA"")),3)="""","" -"",
          TEXT(INDEX(FILTER(VOOS!$I:$I, (VOOS!$B:$B=""LOCAL""),(VOOS!$AP:$AP&lt;&gt;""REALIZADO""),(VOOS!$AP:$AP&lt;&gt;"""&amp;"ABORTIVA"")),3),""HH:MM"")))"),"TRIP:")</f>
        <v>TRIP:</v>
      </c>
      <c r="AA17" s="9" t="str">
        <f>IFERROR(__xludf.DUMMYFUNCTION("""ANV: ""&amp;IFERROR(INDEX(FILTER(VOOS!$AL:$AL, (VOOS!$B:$B=""LOCAL""),(VOOS!$AP:$AP&lt;&gt;""REALIZADO""),(VOOS!$AP:$AP&lt;&gt;""ABORTIVA"")),3),"""")
"),"ANV: ")</f>
        <v>ANV: </v>
      </c>
      <c r="AE17" s="1"/>
      <c r="AF17" s="12" t="str">
        <f>IFERROR(__xludf.DUMMYFUNCTION("""TRIP:""&amp;IFERROR(IF(INDEX(FILTER(VOOS!$I:$I, (VOOS!$B:$B=""LOCAL""),(VOOS!$AP:$AP&lt;&gt;""REALIZADO""),(VOOS!$AP:$AP&lt;&gt;""ABORTIVA"")),4)="""","" -"",
          TEXT(INDEX(FILTER(VOOS!$I:$I, (VOOS!$B:$B=""LOCAL""),(VOOS!$AP:$AP&lt;&gt;""REALIZADO""),(VOOS!$AP:$AP&lt;&gt;"""&amp;"ABORTIVA"")),4),""HH:MM"")))"),"TRIP:")</f>
        <v>TRIP:</v>
      </c>
      <c r="AK17" s="9" t="str">
        <f>IFERROR(__xludf.DUMMYFUNCTION("""ANV: ""&amp;IFERROR(INDEX(FILTER(VOOS!$AL:$AL, (VOOS!$B:$B=""LOCAL""),(VOOS!$AP:$AP&lt;&gt;""REALIZADO""),(VOOS!$AP:$AP&lt;&gt;""ABORTIVA"")),4),"""")
"),"ANV: ")</f>
        <v>ANV: </v>
      </c>
      <c r="AO17" s="1"/>
      <c r="AP17" s="1"/>
      <c r="AQ17" s="1"/>
      <c r="BA17" s="15"/>
      <c r="BB17" s="10"/>
      <c r="BC17" s="1"/>
      <c r="BD17" s="1"/>
      <c r="BE17" s="1"/>
    </row>
    <row r="18" ht="15.0" customHeight="1">
      <c r="A18" s="1"/>
      <c r="G18" s="9" t="str">
        <f>IFERROR(__xludf.DUMMYFUNCTION("""TEV: ""&amp;IFERROR(IF(INDEX(FILTER(VOOS!$AE:$AE, (VOOS!$B:$B=""LOCAL""),(VOOS!$AP:$AP&lt;&gt;""REALIZADO""),(VOOS!$AP:$AP&lt;&gt;""ABORTIVA"")),1)="""",""-"",
         TEXT(INDEX(FILTER(VOOS!$AE:$AE, (VOOS!$B:$B=""LOCAL""),(VOOS!$AP:$AP&lt;&gt;""REALIZADO""),(VOOS!$AP:$AP&lt;&gt;"&amp;"""ABORTIVA"")),1),""HH:MM"")))
"),"TEV: ")</f>
        <v>TEV: </v>
      </c>
      <c r="K18" s="1"/>
      <c r="Q18" s="9" t="str">
        <f>IFERROR(__xludf.DUMMYFUNCTION("""TEV: ""&amp;IFERROR(IF(INDEX(FILTER(VOOS!$AE:$AE, (VOOS!$B:$B=""LOCAL""),(VOOS!$AP:$AP&lt;&gt;""REALIZADO""),(VOOS!$AP:$AP&lt;&gt;""ABORTIVA"")),2)="""",""-"",
         TEXT(INDEX(FILTER(VOOS!$AE:$AE, (VOOS!$B:$B=""LOCAL""),(VOOS!$AP:$AP&lt;&gt;""REALIZADO""),(VOOS!$AP:$AP&lt;&gt;"&amp;"""ABORTIVA"")),2),""HH:MM"")))
"),"TEV: ")</f>
        <v>TEV: </v>
      </c>
      <c r="U18" s="1"/>
      <c r="AA18" s="9" t="str">
        <f>IFERROR(__xludf.DUMMYFUNCTION("""TEV: ""&amp;IFERROR(IF(INDEX(FILTER(VOOS!$AE:$AE, (VOOS!$B:$B=""LOCAL""),(VOOS!$AP:$AP&lt;&gt;""REALIZADO""),(VOOS!$AP:$AP&lt;&gt;""ABORTIVA"")),3)="""",""-"",
         TEXT(INDEX(FILTER(VOOS!$AE:$AE, (VOOS!$B:$B=""LOCAL""),(VOOS!$AP:$AP&lt;&gt;""REALIZADO""),(VOOS!$AP:$AP&lt;&gt;"&amp;"""ABORTIVA"")),3),""HH:MM"")))
"),"TEV: ")</f>
        <v>TEV: </v>
      </c>
      <c r="AE18" s="1"/>
      <c r="AK18" s="9" t="str">
        <f>IFERROR(__xludf.DUMMYFUNCTION("""TEV: ""&amp;IFERROR(IF(INDEX(FILTER(VOOS!$AE:$AE, (VOOS!$B:$B=""LOCAL""),(VOOS!$AP:$AP&lt;&gt;""REALIZADO""),(VOOS!$AP:$AP&lt;&gt;""ABORTIVA"")),4)="""",""-"",
         TEXT(INDEX(FILTER(VOOS!$AE:$AE, (VOOS!$B:$B=""LOCAL""),(VOOS!$AP:$AP&lt;&gt;""REALIZADO""),(VOOS!$AP:$AP&lt;&gt;"&amp;"""ABORTIVA"")),4),""HH:MM"")))
"),"TEV: ")</f>
        <v>TEV: </v>
      </c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ht="15.0" customHeight="1">
      <c r="A19" s="1"/>
      <c r="B19" s="13" t="str">
        <f>IFERROR(__xludf.DUMMYFUNCTION("IFERROR(""➡️ ""&amp;INDEX(FILTER(VOOS!$S:$S, (VOOS!$B:$B=""LOCAL""),(VOOS!$AP:$AP&lt;&gt;""REALIZADO""),(VOOS!$AP:$AP&lt;&gt;""ABORTIVA"")),1),"""")
"),"")</f>
        <v/>
      </c>
      <c r="K19" s="1"/>
      <c r="L19" s="13" t="str">
        <f>IFERROR(__xludf.DUMMYFUNCTION("IFERROR(""➡️ ""&amp;INDEX(FILTER(VOOS!$S:$S, (VOOS!$B:$B=""LOCAL""),(VOOS!$AP:$AP&lt;&gt;""REALIZADO""),(VOOS!$AP:$AP&lt;&gt;""ABORTIVA"")),2),"""")
"),"")</f>
        <v/>
      </c>
      <c r="U19" s="1"/>
      <c r="V19" s="13" t="str">
        <f>IFERROR(__xludf.DUMMYFUNCTION("IFERROR(""➡️ ""&amp;INDEX(FILTER(VOOS!$S:$S, (VOOS!$B:$B=""LOCAL""),(VOOS!$AP:$AP&lt;&gt;""REALIZADO""),(VOOS!$AP:$AP&lt;&gt;""ABORTIVA"")),3),"""")
"),"")</f>
        <v/>
      </c>
      <c r="AE19" s="1"/>
      <c r="AF19" s="13" t="str">
        <f>IFERROR(__xludf.DUMMYFUNCTION("IFERROR(""➡️ ""&amp;INDEX(FILTER(VOOS!$S:$S, (VOOS!$B:$B=""LOCAL""),(VOOS!$AP:$AP&lt;&gt;""REALIZADO""),(VOOS!$AP:$AP&lt;&gt;""ABORTIVA"")),4),"""")
"),"")</f>
        <v/>
      </c>
      <c r="AO19" s="1"/>
      <c r="AP19" s="6" t="s">
        <v>17</v>
      </c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ht="15.0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7" t="s">
        <v>7</v>
      </c>
      <c r="AR20" s="7" t="s">
        <v>8</v>
      </c>
      <c r="AT20" s="7" t="s">
        <v>9</v>
      </c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ht="15.0" customHeight="1">
      <c r="A21" s="1"/>
      <c r="B21" s="18" t="s">
        <v>18</v>
      </c>
      <c r="C21" s="19">
        <f>IF(HOUR(NOW())&lt;8,TODAY()-1,TODAY())</f>
        <v>46199</v>
      </c>
      <c r="K21" s="1"/>
      <c r="L21" s="18" t="s">
        <v>18</v>
      </c>
      <c r="M21" s="19">
        <f>C21+1</f>
        <v>46200</v>
      </c>
      <c r="U21" s="1"/>
      <c r="V21" s="18" t="s">
        <v>18</v>
      </c>
      <c r="W21" s="19">
        <f>M21+1</f>
        <v>46201</v>
      </c>
      <c r="AE21" s="1"/>
      <c r="AF21" s="18" t="s">
        <v>18</v>
      </c>
      <c r="AG21" s="19">
        <f>W21+1</f>
        <v>46202</v>
      </c>
      <c r="AO21" s="1"/>
      <c r="AP21" s="10" t="str">
        <f>IFERROR(__xludf.DUMMYFUNCTION("IFERROR(
  ARRAY_CONSTRAIN(
    SORT(
      FILTER(ADAPT!E3:E36,ADAPT!C3:C36 &lt;&gt; """"),
      FILTER(ADAPT!C3:C36,ADAPT!C3:C36 &lt;&gt; """"),
      FALSE
    ),
    7, 1
  )
)"),"BRI(-133)")</f>
        <v>BRI(-133)</v>
      </c>
      <c r="AR21" s="10" t="str">
        <f>IFERROR(__xludf.DUMMYFUNCTION("IFERROR(
  ARRAY_CONSTRAIN(
    SORT(
      FILTER(ADAPT!J3:J36,ADAPT!H3:H36 &lt;&gt; """"),
      FILTER(ADAPT!H3:H36,ADAPT!H3:H36 &lt;&gt; """"),
      FALSE
    ),
    7, 1
  )
)"),"AEU(-134)")</f>
        <v>AEU(-134)</v>
      </c>
      <c r="AT21" s="10" t="str">
        <f>IFERROR(__xludf.DUMMYFUNCTION("IFERROR(
  ARRAY_CONSTRAIN(
    SORT(
      FILTER(ADAPT!O3:O36, ADAPT!M3:M36&lt;&gt;""""),
      FILTER(ADAPT!M3:M36, ADAPT!M3:M36&lt;&gt;""""),
      FALSE
    ),
    7, 1
  )
)
"),"CNI(-144)")</f>
        <v>CNI(-144)</v>
      </c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ht="15.0" customHeight="1">
      <c r="A22" s="1"/>
      <c r="B22" s="7" t="s">
        <v>19</v>
      </c>
      <c r="E22" s="20" t="str">
        <f t="array" ref="E22">INDEX(SBV!$B$2:$H36,MATCH(C$21,SBV!$B$2:$B36,0),MATCH($B22,SBV!$B$2:BE$2,0))</f>
        <v>#N/A</v>
      </c>
      <c r="K22" s="1"/>
      <c r="L22" s="7" t="s">
        <v>19</v>
      </c>
      <c r="O22" s="20" t="str">
        <f t="array" ref="O22">INDEX(SBV!$B$2:$H36,MATCH(M$21,SBV!$B$2:$B36,0),MATCH($B22,SBV!$B$2:BE$2,0))</f>
        <v>#N/A</v>
      </c>
      <c r="U22" s="1"/>
      <c r="V22" s="7" t="s">
        <v>19</v>
      </c>
      <c r="Y22" s="20" t="str">
        <f t="array" ref="Y22">INDEX(SBV!$B$2:$H36,MATCH(W$21,SBV!$B$2:$B36,0),MATCH($B22,SBV!$B$2:BE$2,0))</f>
        <v>#N/A</v>
      </c>
      <c r="AE22" s="1"/>
      <c r="AF22" s="7" t="s">
        <v>19</v>
      </c>
      <c r="AI22" s="20" t="str">
        <f t="array" ref="AI22">INDEX(SBV!$B$2:$H36,MATCH(AG$21,SBV!$B$2:$B36,0),MATCH($B22,SBV!$B$2:BE$2,0))</f>
        <v>#N/A</v>
      </c>
      <c r="AO22" s="1"/>
      <c r="AP22" s="10" t="str">
        <f>IFERROR(__xludf.DUMMYFUNCTION("""COMPUTED_VALUE"""),"MES(-134)")</f>
        <v>MES(-134)</v>
      </c>
      <c r="AR22" s="10" t="str">
        <f>IFERROR(__xludf.DUMMYFUNCTION("""COMPUTED_VALUE"""),"MES(-140)")</f>
        <v>MES(-140)</v>
      </c>
      <c r="AT22" s="10" t="str">
        <f>IFERROR(__xludf.DUMMYFUNCTION("""COMPUTED_VALUE"""),"FIA(-145)")</f>
        <v>FIA(-145)</v>
      </c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ht="15.0" customHeight="1">
      <c r="A23" s="1"/>
      <c r="B23" s="7" t="s">
        <v>20</v>
      </c>
      <c r="E23" s="20" t="str">
        <f t="array" ref="E23">INDEX(SBV!$B$2:$H36,MATCH(C$21,SBV!$B$2:$B36,0),MATCH($B23,SBV!$B$2:BE$2,0))</f>
        <v>#N/A</v>
      </c>
      <c r="K23" s="1"/>
      <c r="L23" s="7" t="s">
        <v>20</v>
      </c>
      <c r="O23" s="20" t="str">
        <f t="array" ref="O23">INDEX(SBV!$B$2:$H36,MATCH(M$21,SBV!$B$2:$B36,0),MATCH($B23,SBV!$B$2:BE$2,0))</f>
        <v>#N/A</v>
      </c>
      <c r="U23" s="1"/>
      <c r="V23" s="7" t="s">
        <v>20</v>
      </c>
      <c r="Y23" s="20" t="str">
        <f t="array" ref="Y23">INDEX(SBV!$B$2:$H36,MATCH(W$21,SBV!$B$2:$B36,0),MATCH($B23,SBV!$B$2:BE$2,0))</f>
        <v>#N/A</v>
      </c>
      <c r="AE23" s="1"/>
      <c r="AF23" s="7" t="s">
        <v>20</v>
      </c>
      <c r="AI23" s="20" t="str">
        <f t="array" ref="AI23">INDEX(SBV!$B$2:$H36,MATCH(AG$21,SBV!$B$2:$B36,0),MATCH($B23,SBV!$B$2:BE$2,0))</f>
        <v>#N/A</v>
      </c>
      <c r="AO23" s="1"/>
      <c r="AP23" s="10" t="str">
        <f>IFERROR(__xludf.DUMMYFUNCTION("""COMPUTED_VALUE"""),"MHL(-134)")</f>
        <v>MHL(-134)</v>
      </c>
      <c r="AR23" s="10" t="str">
        <f>IFERROR(__xludf.DUMMYFUNCTION("""COMPUTED_VALUE"""),"FIA(-143)")</f>
        <v>FIA(-143)</v>
      </c>
      <c r="AT23" s="10" t="str">
        <f>IFERROR(__xludf.DUMMYFUNCTION("""COMPUTED_VALUE"""),"CFF(-147)")</f>
        <v>CFF(-147)</v>
      </c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ht="15.0" customHeight="1">
      <c r="A24" s="1"/>
      <c r="B24" s="7" t="s">
        <v>21</v>
      </c>
      <c r="E24" s="20" t="str">
        <f t="array" ref="E24">INDEX(SBV!$B$2:$H36,MATCH(C$21,SBV!$B$2:$B36,0),MATCH($B24,SBV!$B$2:BE$2,0))</f>
        <v>#N/A</v>
      </c>
      <c r="K24" s="1"/>
      <c r="L24" s="7" t="s">
        <v>21</v>
      </c>
      <c r="O24" s="20" t="str">
        <f t="array" ref="O24">INDEX(SBV!$B$2:$H36,MATCH(M$21,SBV!$B$2:$B36,0),MATCH($B24,SBV!$B$2:BE$2,0))</f>
        <v>#N/A</v>
      </c>
      <c r="U24" s="1"/>
      <c r="V24" s="7" t="s">
        <v>21</v>
      </c>
      <c r="Y24" s="20" t="str">
        <f t="array" ref="Y24">INDEX(SBV!$B$2:$H36,MATCH(W$21,SBV!$B$2:$B36,0),MATCH($B24,SBV!$B$2:BE$2,0))</f>
        <v>#N/A</v>
      </c>
      <c r="AE24" s="1"/>
      <c r="AF24" s="7" t="s">
        <v>21</v>
      </c>
      <c r="AI24" s="20" t="str">
        <f t="array" ref="AI24">INDEX(SBV!$B$2:$H36,MATCH(AG$21,SBV!$B$2:$B36,0),MATCH($B24,SBV!$B$2:BE$2,0))</f>
        <v>#N/A</v>
      </c>
      <c r="AO24" s="1"/>
      <c r="AP24" s="10" t="str">
        <f>IFERROR(__xludf.DUMMYFUNCTION("""COMPUTED_VALUE"""),"CAR(-134)")</f>
        <v>CAR(-134)</v>
      </c>
      <c r="AR24" s="10" t="str">
        <f>IFERROR(__xludf.DUMMYFUNCTION("""COMPUTED_VALUE"""),"SEI(-143)")</f>
        <v>SEI(-143)</v>
      </c>
      <c r="AT24" s="10" t="str">
        <f>IFERROR(__xludf.DUMMYFUNCTION("""COMPUTED_VALUE"""),"MCH(-150)")</f>
        <v>MCH(-150)</v>
      </c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ht="15.0" customHeight="1">
      <c r="A25" s="1"/>
      <c r="B25" s="21" t="str">
        <f t="array" ref="B25">"  📌 CPROG: "&amp;INDEX(SBV!$B$2:$I36,MATCH(C$21,SBV!$B$2:$B36,0),MATCH("CPROG",SBV!$B$2:BE$2,0))</f>
        <v>#N/A</v>
      </c>
      <c r="K25" s="1"/>
      <c r="L25" s="21" t="str">
        <f t="array" ref="L25">"  📌 CPROG: "&amp;INDEX(SBV!$B$2:$I36,MATCH(M$21,SBV!$B$2:$B36,0),MATCH("CPROG",SBV!$B$2:BE$2,0))</f>
        <v>#N/A</v>
      </c>
      <c r="U25" s="1"/>
      <c r="V25" s="21" t="str">
        <f t="array" ref="V25">"  📌 CPROG: "&amp;INDEX(SBV!$B$2:$I36,MATCH(W$21,SBV!$B$2:$B36,0),MATCH("CPROG",SBV!$B$2:BE$2,0))</f>
        <v>#N/A</v>
      </c>
      <c r="AE25" s="1"/>
      <c r="AF25" s="21" t="str">
        <f t="array" ref="AF25">"  📌 CPROG: "&amp;INDEX(SBV!$B$2:$I36,MATCH(AG$21,SBV!$B$2:$B36,0),MATCH("CPROG",SBV!$B$2:BE$2,0))</f>
        <v>#N/A</v>
      </c>
      <c r="AO25" s="1"/>
      <c r="AP25" s="10" t="str">
        <f>IFERROR(__xludf.DUMMYFUNCTION("""COMPUTED_VALUE"""),"KVN(-143)")</f>
        <v>KVN(-143)</v>
      </c>
      <c r="AR25" s="10" t="str">
        <f>IFERROR(__xludf.DUMMYFUNCTION("""COMPUTED_VALUE"""),"LPS(-144)")</f>
        <v>LPS(-144)</v>
      </c>
      <c r="AT25" s="10" t="str">
        <f>IFERROR(__xludf.DUMMYFUNCTION("""COMPUTED_VALUE"""),"SUG(-150)")</f>
        <v>SUG(-150)</v>
      </c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ht="15.0" customHeight="1">
      <c r="A26" s="1"/>
      <c r="B26" s="21" t="str">
        <f t="array" ref="B26">"  📌 MECDAY: "&amp;INDEX(SBV!$B$2:$I36,MATCH(C$21,SBV!$B$2:$B36,0),MATCH("MECDAY",SBV!$B$2:BE$2,0))</f>
        <v>#N/A</v>
      </c>
      <c r="K26" s="1"/>
      <c r="L26" s="21" t="str">
        <f t="array" ref="L26">"  📌 MECDAY: "&amp;INDEX(SBV!$B$2:$I36,MATCH(M$21,SBV!$B$2:$B36,0),MATCH("MECDAY",SBV!$B$2:BE$2,0))</f>
        <v>#N/A</v>
      </c>
      <c r="U26" s="1"/>
      <c r="V26" s="21" t="str">
        <f t="array" ref="V26">"  📌 MECDAY: "&amp;INDEX(SBV!$B$2:$I36,MATCH(W$21,SBV!$B$2:$B36,0),MATCH("MECDAY",SBV!$B$2:BE$2,0))</f>
        <v>#N/A</v>
      </c>
      <c r="AE26" s="1"/>
      <c r="AF26" s="21" t="str">
        <f t="array" ref="AF26">"  📌 MECDAY: "&amp;INDEX(SBV!$B$2:$I36,MATCH(AG$21,SBV!$B$2:$B36,0),MATCH("MECDAY",SBV!$B$2:BE$2,0))</f>
        <v>#N/A</v>
      </c>
      <c r="AO26" s="1"/>
      <c r="AP26" s="10" t="str">
        <f>IFERROR(__xludf.DUMMYFUNCTION("""COMPUTED_VALUE"""),"JVT(-144)")</f>
        <v>JVT(-144)</v>
      </c>
      <c r="AR26" s="10" t="str">
        <f>IFERROR(__xludf.DUMMYFUNCTION("""COMPUTED_VALUE"""),"MHL(-150)")</f>
        <v>MHL(-150)</v>
      </c>
      <c r="AT26" s="10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ht="15.0" customHeight="1">
      <c r="A27" s="1"/>
      <c r="B27" s="21" t="str">
        <f t="array" ref="B27">"  📌 PERMANÊNCIA: "&amp;INDEX(SBV!$B$2:$I36,MATCH(C$21,SBV!$B$2:$B36,0),MATCH("PERMAN.",SBV!$B$2:BE$2,0))</f>
        <v>#N/A</v>
      </c>
      <c r="K27" s="1"/>
      <c r="L27" s="21" t="str">
        <f t="array" ref="L27">"  📌 PERMANÊNCIA: "&amp;INDEX(SBV!$B$2:$I36,MATCH(M$21,SBV!$B$2:$B36,0),MATCH("PERMAN.",SBV!$B$2:BE$2,0))</f>
        <v>#N/A</v>
      </c>
      <c r="U27" s="1"/>
      <c r="V27" s="21" t="str">
        <f t="array" ref="V27">"  📌 PERMANÊNCIA: "&amp;INDEX(SBV!$B$2:$I36,MATCH(W$21,SBV!$B$2:$B36,0),MATCH("PERMAN.",SBV!$B$2:BE$2,0))</f>
        <v>#N/A</v>
      </c>
      <c r="AE27" s="1"/>
      <c r="AF27" s="21" t="str">
        <f t="array" ref="AF27">"  📌 PERMANÊNCIA: "&amp;INDEX(SBV!$B$2:$I36,MATCH(AG$21,SBV!$B$2:$B36,0),MATCH("PERMAN.",SBV!$B$2:BE$2,0))</f>
        <v>#N/A</v>
      </c>
      <c r="AO27" s="1"/>
      <c r="AP27" s="10" t="str">
        <f>IFERROR(__xludf.DUMMYFUNCTION("""COMPUTED_VALUE"""),"HCK(-144)")</f>
        <v>HCK(-144)</v>
      </c>
      <c r="AR27" s="10" t="str">
        <f>IFERROR(__xludf.DUMMYFUNCTION("""COMPUTED_VALUE"""),"MAT(-305)")</f>
        <v>MAT(-305)</v>
      </c>
      <c r="AT27" s="10" t="str">
        <f>IFERROR(__xludf.DUMMYFUNCTION("""COMPUTED_VALUE"""),"GMS(-151)")</f>
        <v>GMS(-151)</v>
      </c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ht="15.0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ht="15.0" customHeight="1">
      <c r="A29" s="1"/>
      <c r="B29" s="6" t="s">
        <v>22</v>
      </c>
      <c r="U29" s="1"/>
      <c r="V29" s="6" t="s">
        <v>23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ht="15.0" customHeight="1">
      <c r="A30" s="1"/>
      <c r="B30" s="20" t="str">
        <f>IFERROR(__xludf.DUMMYFUNCTION("IFERROR(QUERY('AVISOS OPERACIONAIS'!B3:AJ36,""SELECT Col1 WHERE Col30='VÁLIDO'"",0))"),"")</f>
        <v/>
      </c>
      <c r="D30" s="20" t="str">
        <f>IFERROR(__xludf.DUMMYFUNCTION("IFERROR(QUERY('AVISOS OPERACIONAIS'!B3:AJ36,""SELECT Col10 WHERE Col30='VÁLIDO'"",0))"),"")</f>
        <v/>
      </c>
      <c r="U30" s="1"/>
      <c r="V30" s="7" t="s">
        <v>24</v>
      </c>
      <c r="Y30" s="7" t="s">
        <v>25</v>
      </c>
      <c r="AA30" s="7" t="s">
        <v>26</v>
      </c>
      <c r="AD30" s="7" t="s">
        <v>27</v>
      </c>
      <c r="AG30" s="7" t="s">
        <v>28</v>
      </c>
      <c r="AJ30" s="7" t="s">
        <v>29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ht="15.0" customHeight="1">
      <c r="A31" s="1"/>
      <c r="B31" s="20"/>
      <c r="D31" s="20"/>
      <c r="U31" s="1"/>
      <c r="V31" s="20" t="str">
        <f>IFERROR(__xludf.DUMMYFUNCTION("QUERY(ANV!B5:B20,""select Col1 where Col1 &lt;&gt; '' and Col1 &lt;&gt; 'ANV' and Col1 &lt;&gt; 'AERONAVES DISPONÍVEIS' and Col1 &lt;&gt; 'AERONAVES INDISPONÍVEIS'"")"),"C-97 2020")</f>
        <v>C-97 2020</v>
      </c>
      <c r="Y31" s="20" t="str">
        <f t="shared" ref="Y31:Y35" si="1">IFERROR(IF(OR(Z31="DI",Z31="DO"),"✅","❌"),"")</f>
        <v>✅</v>
      </c>
      <c r="Z31" s="20" t="str">
        <f t="array" ref="Z31">IFERROR(INDEX(ANV!$B$5:$G$20,MATCH($V31,ANV!$B$5:$B$20,0),2),"")</f>
        <v>DI</v>
      </c>
      <c r="AA31" s="22" t="str">
        <f t="array" ref="AA31">IFERROR(INDEX(ANV!$B$5:$G$20,MATCH($V31,ANV!$B$5:$B$20,0),3),"")</f>
        <v/>
      </c>
      <c r="AD31" s="22" t="str">
        <f t="array" ref="AD31">IFERROR(INDEX(ANV!$B$5:$G$20,MATCH($V31,ANV!$B$5:$B$20,0),5),"")</f>
        <v/>
      </c>
      <c r="AG31" s="23">
        <f t="array" ref="AG31">IFERROR(INDEX(ANV!$B$5:$G$20,MATCH($V31,ANV!$B$5:$B$20,0),6),"")</f>
        <v>0.84375</v>
      </c>
      <c r="AJ31" s="23" t="str">
        <f t="array" ref="AJ31">IFERROR(INDEX(ANV!$B$5:$G$20,MATCH($V31,ANV!$B$5:$B$20,0),4),"")</f>
        <v/>
      </c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ht="15.0" customHeight="1">
      <c r="A32" s="1"/>
      <c r="B32" s="20"/>
      <c r="D32" s="20"/>
      <c r="U32" s="1"/>
      <c r="V32" s="20" t="str">
        <f>IFERROR(__xludf.DUMMYFUNCTION("""COMPUTED_VALUE"""),"C-95 2303")</f>
        <v>C-95 2303</v>
      </c>
      <c r="Y32" s="20" t="str">
        <f t="shared" si="1"/>
        <v>✅</v>
      </c>
      <c r="Z32" s="20" t="str">
        <f t="array" ref="Z32">IFERROR(INDEX(ANV!$B$5:$G$20,MATCH($V32,ANV!$B$5:$B$20,0),2),"")</f>
        <v>DO</v>
      </c>
      <c r="AA32" s="22">
        <f t="array" ref="AA32">IFERROR(INDEX(ANV!$B$5:$G$20,MATCH($V32,ANV!$B$5:$B$20,0),3),"")</f>
        <v>46196</v>
      </c>
      <c r="AD32" s="22">
        <f t="array" ref="AD32">IFERROR(INDEX(ANV!$B$5:$G$20,MATCH($V32,ANV!$B$5:$B$20,0),5),"")</f>
        <v>46202</v>
      </c>
      <c r="AG32" s="23">
        <f t="array" ref="AG32">IFERROR(INDEX(ANV!$B$5:$G$20,MATCH($V32,ANV!$B$5:$B$20,0),6),"")</f>
        <v>2.579861111</v>
      </c>
      <c r="AJ32" s="23" t="str">
        <f t="array" ref="AJ32">IFERROR(INDEX(ANV!$B$5:$G$20,MATCH($V32,ANV!$B$5:$B$20,0),4),"")</f>
        <v>ANV SEM P.A.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ht="15.0" customHeight="1">
      <c r="A33" s="1"/>
      <c r="B33" s="20"/>
      <c r="D33" s="20"/>
      <c r="U33" s="1"/>
      <c r="V33" s="20" t="str">
        <f>IFERROR(__xludf.DUMMYFUNCTION("""COMPUTED_VALUE"""),"C-98 2722")</f>
        <v>C-98 2722</v>
      </c>
      <c r="Y33" s="20" t="str">
        <f t="shared" si="1"/>
        <v>✅</v>
      </c>
      <c r="Z33" s="20" t="str">
        <f t="array" ref="Z33">IFERROR(INDEX(ANV!$B$5:$G$20,MATCH($V33,ANV!$B$5:$B$20,0),2),"")</f>
        <v>DI</v>
      </c>
      <c r="AA33" s="22" t="str">
        <f t="array" ref="AA33">IFERROR(INDEX(ANV!$B$5:$G$20,MATCH($V33,ANV!$B$5:$B$20,0),3),"")</f>
        <v/>
      </c>
      <c r="AD33" s="22" t="str">
        <f t="array" ref="AD33">IFERROR(INDEX(ANV!$B$5:$G$20,MATCH($V33,ANV!$B$5:$B$20,0),5),"")</f>
        <v/>
      </c>
      <c r="AG33" s="23">
        <f t="array" ref="AG33">IFERROR(INDEX(ANV!$B$5:$G$20,MATCH($V33,ANV!$B$5:$B$20,0),6),"")</f>
        <v>3.4375</v>
      </c>
      <c r="AJ33" s="23" t="str">
        <f t="array" ref="AJ33">IFERROR(INDEX(ANV!$B$5:$G$20,MATCH($V33,ANV!$B$5:$B$20,0),4),"")</f>
        <v/>
      </c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ht="15.0" customHeight="1">
      <c r="A34" s="1"/>
      <c r="B34" s="20"/>
      <c r="D34" s="20"/>
      <c r="U34" s="1"/>
      <c r="V34" s="20" t="str">
        <f>IFERROR(__xludf.DUMMYFUNCTION("""COMPUTED_VALUE"""),"C-98 2719")</f>
        <v>C-98 2719</v>
      </c>
      <c r="Y34" s="20" t="str">
        <f t="shared" si="1"/>
        <v>❌</v>
      </c>
      <c r="Z34" s="20" t="str">
        <f t="array" ref="Z34">IFERROR(INDEX(ANV!$B$5:$G$20,MATCH($V34,ANV!$B$5:$B$20,0),2),"")</f>
        <v>II</v>
      </c>
      <c r="AA34" s="22">
        <f t="array" ref="AA34">IFERROR(INDEX(ANV!$B$5:$G$20,MATCH($V34,ANV!$B$5:$B$20,0),3),"")</f>
        <v>46169</v>
      </c>
      <c r="AD34" s="22">
        <f t="array" ref="AD34">IFERROR(INDEX(ANV!$B$5:$G$20,MATCH($V34,ANV!$B$5:$B$20,0),5),"")</f>
        <v>46202</v>
      </c>
      <c r="AG34" s="23">
        <f t="array" ref="AG34">IFERROR(INDEX(ANV!$B$5:$G$20,MATCH($V34,ANV!$B$5:$B$20,0),6),"")</f>
        <v>4.166666667</v>
      </c>
      <c r="AJ34" s="23" t="str">
        <f t="array" ref="AJ34">IFERROR(INDEX(ANV!$B$5:$G$20,MATCH($V34,ANV!$B$5:$B$20,0),4),"")</f>
        <v>ID 0A,15,20,MG / 4300 FH / HSI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ht="15.0" customHeight="1">
      <c r="A35" s="1"/>
      <c r="B35" s="20"/>
      <c r="D35" s="20"/>
      <c r="U35" s="1"/>
      <c r="V35" s="20"/>
      <c r="Y35" s="20" t="str">
        <f t="shared" si="1"/>
        <v>❌</v>
      </c>
      <c r="Z35" s="20" t="str">
        <f t="array" ref="Z35">IFERROR(INDEX(ANV!$B$5:$G$20,MATCH($V35,ANV!$B$5:$B$20,0),2),"")</f>
        <v/>
      </c>
      <c r="AA35" s="22" t="str">
        <f t="array" ref="AA35">IFERROR(INDEX(ANV!$B$5:$G$20,MATCH($V35,ANV!$B$5:$B$20,0),3),"")</f>
        <v/>
      </c>
      <c r="AD35" s="22" t="str">
        <f t="array" ref="AD35">IFERROR(INDEX(ANV!$B$5:$G$20,MATCH($V35,ANV!$B$5:$B$20,0),5),"")</f>
        <v/>
      </c>
      <c r="AG35" s="23" t="str">
        <f t="array" ref="AG35">IFERROR(INDEX(ANV!$B$5:$G$20,MATCH($V35,ANV!$B$5:$B$20,0),6),"")</f>
        <v/>
      </c>
      <c r="AJ35" s="23" t="str">
        <f t="array" ref="AJ35">IFERROR(INDEX(ANV!$B$5:$G$20,MATCH($V35,ANV!$B$5:$B$20,0),4),"")</f>
        <v/>
      </c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ht="15.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</sheetData>
  <mergeCells count="233">
    <mergeCell ref="B30:C30"/>
    <mergeCell ref="D31:T31"/>
    <mergeCell ref="V31:X31"/>
    <mergeCell ref="AA31:AC31"/>
    <mergeCell ref="AD31:AF31"/>
    <mergeCell ref="AG31:AI31"/>
    <mergeCell ref="AJ31:AU31"/>
    <mergeCell ref="B31:C31"/>
    <mergeCell ref="D32:T32"/>
    <mergeCell ref="V32:X32"/>
    <mergeCell ref="AA32:AC32"/>
    <mergeCell ref="AD32:AF32"/>
    <mergeCell ref="AG32:AI32"/>
    <mergeCell ref="AJ32:AU32"/>
    <mergeCell ref="B32:C32"/>
    <mergeCell ref="D33:T33"/>
    <mergeCell ref="V33:X33"/>
    <mergeCell ref="AA33:AC33"/>
    <mergeCell ref="AD33:AF33"/>
    <mergeCell ref="AG33:AI33"/>
    <mergeCell ref="AJ33:AU33"/>
    <mergeCell ref="B33:C33"/>
    <mergeCell ref="D34:T34"/>
    <mergeCell ref="V34:X34"/>
    <mergeCell ref="AA34:AC34"/>
    <mergeCell ref="AD34:AF34"/>
    <mergeCell ref="AG34:AI34"/>
    <mergeCell ref="AJ34:AU34"/>
    <mergeCell ref="Y22:AD22"/>
    <mergeCell ref="AF22:AH22"/>
    <mergeCell ref="Y23:AD23"/>
    <mergeCell ref="AF23:AH23"/>
    <mergeCell ref="AI23:AN23"/>
    <mergeCell ref="AP23:AQ23"/>
    <mergeCell ref="AR23:AS23"/>
    <mergeCell ref="AT23:AU23"/>
    <mergeCell ref="AI22:AN22"/>
    <mergeCell ref="AP22:AQ22"/>
    <mergeCell ref="AR22:AS22"/>
    <mergeCell ref="AT22:AU22"/>
    <mergeCell ref="C21:J21"/>
    <mergeCell ref="M21:T21"/>
    <mergeCell ref="W21:AD21"/>
    <mergeCell ref="AG21:AN21"/>
    <mergeCell ref="B22:D22"/>
    <mergeCell ref="E22:J22"/>
    <mergeCell ref="L22:N22"/>
    <mergeCell ref="O22:T22"/>
    <mergeCell ref="V22:X22"/>
    <mergeCell ref="B23:D23"/>
    <mergeCell ref="E23:J23"/>
    <mergeCell ref="L23:N23"/>
    <mergeCell ref="O23:T23"/>
    <mergeCell ref="V23:X23"/>
    <mergeCell ref="AI24:AN24"/>
    <mergeCell ref="AP24:AQ24"/>
    <mergeCell ref="AR24:AS24"/>
    <mergeCell ref="AT24:AU24"/>
    <mergeCell ref="B24:D24"/>
    <mergeCell ref="E24:J24"/>
    <mergeCell ref="L24:N24"/>
    <mergeCell ref="O24:T24"/>
    <mergeCell ref="V24:X24"/>
    <mergeCell ref="Y24:AD24"/>
    <mergeCell ref="AF24:AH24"/>
    <mergeCell ref="B34:C34"/>
    <mergeCell ref="B35:C35"/>
    <mergeCell ref="D35:T35"/>
    <mergeCell ref="V35:X35"/>
    <mergeCell ref="AA35:AC35"/>
    <mergeCell ref="AD35:AF35"/>
    <mergeCell ref="AG35:AI35"/>
    <mergeCell ref="AJ35:AU35"/>
    <mergeCell ref="AK4:AN5"/>
    <mergeCell ref="AP4:AU4"/>
    <mergeCell ref="AP5:AQ5"/>
    <mergeCell ref="AR5:AS5"/>
    <mergeCell ref="AT5:AU5"/>
    <mergeCell ref="AW5:BD6"/>
    <mergeCell ref="AK6:AN6"/>
    <mergeCell ref="AT6:AU6"/>
    <mergeCell ref="AP6:AQ6"/>
    <mergeCell ref="AR6:AS6"/>
    <mergeCell ref="AK7:AN7"/>
    <mergeCell ref="AR7:AS7"/>
    <mergeCell ref="AT7:AU7"/>
    <mergeCell ref="AW7:BD8"/>
    <mergeCell ref="AK8:AN8"/>
    <mergeCell ref="AX12:AX13"/>
    <mergeCell ref="AY12:AZ13"/>
    <mergeCell ref="AY14:AZ15"/>
    <mergeCell ref="BA14:BB16"/>
    <mergeCell ref="AR10:BB10"/>
    <mergeCell ref="AR11:AT11"/>
    <mergeCell ref="AU11:AW11"/>
    <mergeCell ref="AX11:AZ11"/>
    <mergeCell ref="BA11:BB11"/>
    <mergeCell ref="AR12:AR13"/>
    <mergeCell ref="AS12:AT13"/>
    <mergeCell ref="BA12:BB13"/>
    <mergeCell ref="AU12:AU13"/>
    <mergeCell ref="AV12:AW13"/>
    <mergeCell ref="AR14:AR15"/>
    <mergeCell ref="AS14:AT15"/>
    <mergeCell ref="AU14:AU15"/>
    <mergeCell ref="AV14:AW15"/>
    <mergeCell ref="AX14:AX15"/>
    <mergeCell ref="AP20:AQ20"/>
    <mergeCell ref="AR20:AS20"/>
    <mergeCell ref="AT20:AU20"/>
    <mergeCell ref="AP21:AQ21"/>
    <mergeCell ref="AR21:AS21"/>
    <mergeCell ref="AT21:AU21"/>
    <mergeCell ref="AR16:AR17"/>
    <mergeCell ref="AS16:AT17"/>
    <mergeCell ref="AU16:AU17"/>
    <mergeCell ref="AV16:AW17"/>
    <mergeCell ref="AX16:AX17"/>
    <mergeCell ref="AY16:AZ17"/>
    <mergeCell ref="AP19:AU19"/>
    <mergeCell ref="AA4:AD5"/>
    <mergeCell ref="AF4:AJ5"/>
    <mergeCell ref="AA6:AD6"/>
    <mergeCell ref="AF6:AJ6"/>
    <mergeCell ref="AF7:AJ7"/>
    <mergeCell ref="AF8:AJ9"/>
    <mergeCell ref="AA9:AD9"/>
    <mergeCell ref="E1:AK3"/>
    <mergeCell ref="AR2:BB2"/>
    <mergeCell ref="G4:J5"/>
    <mergeCell ref="L4:P5"/>
    <mergeCell ref="Q4:T5"/>
    <mergeCell ref="V4:Z5"/>
    <mergeCell ref="AW4:BD4"/>
    <mergeCell ref="V6:Z6"/>
    <mergeCell ref="V7:Z7"/>
    <mergeCell ref="AA7:AD7"/>
    <mergeCell ref="AA8:AD8"/>
    <mergeCell ref="G7:J7"/>
    <mergeCell ref="G8:J8"/>
    <mergeCell ref="Q7:T7"/>
    <mergeCell ref="Q8:T8"/>
    <mergeCell ref="AP7:AQ7"/>
    <mergeCell ref="AP8:AQ8"/>
    <mergeCell ref="AK9:AN9"/>
    <mergeCell ref="AR8:AS8"/>
    <mergeCell ref="AT8:AU8"/>
    <mergeCell ref="Q17:T17"/>
    <mergeCell ref="Q18:T18"/>
    <mergeCell ref="Q13:T14"/>
    <mergeCell ref="V13:Z14"/>
    <mergeCell ref="Q15:T15"/>
    <mergeCell ref="V15:Z15"/>
    <mergeCell ref="Q16:T16"/>
    <mergeCell ref="V16:Z16"/>
    <mergeCell ref="V17:Z18"/>
    <mergeCell ref="L6:P6"/>
    <mergeCell ref="L7:P7"/>
    <mergeCell ref="B4:F5"/>
    <mergeCell ref="B6:F6"/>
    <mergeCell ref="G6:J6"/>
    <mergeCell ref="Q6:T6"/>
    <mergeCell ref="B7:F7"/>
    <mergeCell ref="L8:P9"/>
    <mergeCell ref="V8:Z9"/>
    <mergeCell ref="Q9:T9"/>
    <mergeCell ref="B8:F9"/>
    <mergeCell ref="G9:J9"/>
    <mergeCell ref="B10:J11"/>
    <mergeCell ref="L10:T11"/>
    <mergeCell ref="V10:AD11"/>
    <mergeCell ref="AF10:AN11"/>
    <mergeCell ref="B13:F14"/>
    <mergeCell ref="AK13:AN14"/>
    <mergeCell ref="G13:J14"/>
    <mergeCell ref="L13:P14"/>
    <mergeCell ref="B15:F15"/>
    <mergeCell ref="G15:J15"/>
    <mergeCell ref="L15:P15"/>
    <mergeCell ref="G16:J16"/>
    <mergeCell ref="L16:P16"/>
    <mergeCell ref="AA16:AD16"/>
    <mergeCell ref="AA17:AD17"/>
    <mergeCell ref="AF17:AJ18"/>
    <mergeCell ref="AK17:AN17"/>
    <mergeCell ref="AA18:AD18"/>
    <mergeCell ref="AK18:AN18"/>
    <mergeCell ref="V19:AD19"/>
    <mergeCell ref="AF19:AN19"/>
    <mergeCell ref="AA13:AD14"/>
    <mergeCell ref="AF13:AJ14"/>
    <mergeCell ref="AA15:AD15"/>
    <mergeCell ref="AF15:AJ15"/>
    <mergeCell ref="AK15:AN15"/>
    <mergeCell ref="AF16:AJ16"/>
    <mergeCell ref="AK16:AN16"/>
    <mergeCell ref="B16:F16"/>
    <mergeCell ref="B17:F18"/>
    <mergeCell ref="G17:J17"/>
    <mergeCell ref="L17:P18"/>
    <mergeCell ref="G18:J18"/>
    <mergeCell ref="B19:J19"/>
    <mergeCell ref="L19:T19"/>
    <mergeCell ref="AF25:AN25"/>
    <mergeCell ref="AF26:AN26"/>
    <mergeCell ref="AP26:AQ26"/>
    <mergeCell ref="AR26:AS26"/>
    <mergeCell ref="B25:J25"/>
    <mergeCell ref="V25:AD25"/>
    <mergeCell ref="AP25:AQ25"/>
    <mergeCell ref="AR25:AS25"/>
    <mergeCell ref="AT25:AU25"/>
    <mergeCell ref="B26:J26"/>
    <mergeCell ref="V26:AD26"/>
    <mergeCell ref="AT26:AU26"/>
    <mergeCell ref="AR27:AS27"/>
    <mergeCell ref="AT27:AU27"/>
    <mergeCell ref="L25:T25"/>
    <mergeCell ref="L26:T26"/>
    <mergeCell ref="B27:J27"/>
    <mergeCell ref="L27:T27"/>
    <mergeCell ref="V27:AD27"/>
    <mergeCell ref="AF27:AN27"/>
    <mergeCell ref="AP27:AQ27"/>
    <mergeCell ref="AD30:AF30"/>
    <mergeCell ref="AG30:AI30"/>
    <mergeCell ref="B29:T29"/>
    <mergeCell ref="V29:AU29"/>
    <mergeCell ref="D30:T30"/>
    <mergeCell ref="V30:X30"/>
    <mergeCell ref="Y30:Z30"/>
    <mergeCell ref="AA30:AC30"/>
    <mergeCell ref="AJ30:AU30"/>
  </mergeCells>
  <conditionalFormatting sqref="G4:J5 Q4:T5 AA4:AD5 AK4:AN5 G13:J14 Q13:T14 AA13:AD14 AK13:AN14">
    <cfRule type="cellIs" dxfId="0" priority="1" operator="equal">
      <formula>"EM EXECUÇÃO"</formula>
    </cfRule>
  </conditionalFormatting>
  <conditionalFormatting sqref="G4:J5 Q4:T5 AA4:AD5 AK4:AN5 G13:J14 Q13:T14 AA13:AD14 AK13:AN14">
    <cfRule type="cellIs" dxfId="1" priority="2" operator="equal">
      <formula>"PROGRAMADA"</formula>
    </cfRule>
  </conditionalFormatting>
  <conditionalFormatting sqref="G4:J5 Q4:T5 AA4:AD5 AK4:AN5 G13:J14 Q13:T14 AA13:AD14 AK13:AN14">
    <cfRule type="cellIs" dxfId="2" priority="3" operator="equal">
      <formula>"AGD OFRAG"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3.25"/>
    <col customWidth="1" min="2" max="2" width="9.5"/>
    <col customWidth="1" min="3" max="50" width="3.25"/>
  </cols>
  <sheetData>
    <row r="1">
      <c r="A1" s="24"/>
      <c r="B1" s="25"/>
      <c r="C1" s="26"/>
      <c r="D1" s="26"/>
      <c r="E1" s="26"/>
      <c r="F1" s="26"/>
      <c r="G1" s="26"/>
      <c r="H1" s="26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7"/>
      <c r="AF1" s="27"/>
      <c r="AG1" s="25"/>
      <c r="AH1" s="25"/>
      <c r="AI1" s="25"/>
      <c r="AJ1" s="25"/>
      <c r="AK1" s="25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24"/>
    </row>
    <row r="2">
      <c r="A2" s="24"/>
      <c r="B2" s="28" t="s">
        <v>30</v>
      </c>
      <c r="C2" s="29" t="s">
        <v>31</v>
      </c>
      <c r="D2" s="30"/>
      <c r="E2" s="30"/>
      <c r="F2" s="29" t="s">
        <v>32</v>
      </c>
      <c r="G2" s="30"/>
      <c r="H2" s="30"/>
      <c r="I2" s="31" t="s">
        <v>33</v>
      </c>
      <c r="J2" s="30"/>
      <c r="K2" s="30"/>
      <c r="L2" s="30"/>
      <c r="M2" s="30"/>
      <c r="N2" s="30"/>
      <c r="O2" s="30"/>
      <c r="P2" s="30"/>
      <c r="Q2" s="30"/>
      <c r="R2" s="30"/>
      <c r="S2" s="31" t="s">
        <v>34</v>
      </c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2" t="s">
        <v>35</v>
      </c>
      <c r="AF2" s="30"/>
      <c r="AG2" s="31" t="s">
        <v>36</v>
      </c>
      <c r="AH2" s="30"/>
      <c r="AI2" s="30"/>
      <c r="AJ2" s="31" t="s">
        <v>37</v>
      </c>
      <c r="AK2" s="30"/>
      <c r="AL2" s="33" t="s">
        <v>38</v>
      </c>
      <c r="AM2" s="30"/>
      <c r="AN2" s="30"/>
      <c r="AO2" s="30"/>
      <c r="AP2" s="33" t="s">
        <v>39</v>
      </c>
      <c r="AQ2" s="30"/>
      <c r="AR2" s="30"/>
      <c r="AS2" s="30"/>
      <c r="AT2" s="30"/>
      <c r="AU2" s="30"/>
      <c r="AV2" s="33" t="s">
        <v>40</v>
      </c>
      <c r="AW2" s="34"/>
      <c r="AX2" s="35"/>
    </row>
    <row r="3" hidden="1">
      <c r="A3" s="24"/>
      <c r="B3" s="36" t="s">
        <v>41</v>
      </c>
      <c r="C3" s="37">
        <v>45517.0</v>
      </c>
      <c r="F3" s="38">
        <v>0.4583333333333333</v>
      </c>
      <c r="I3" s="39" t="s">
        <v>42</v>
      </c>
      <c r="S3" s="39" t="s">
        <v>43</v>
      </c>
      <c r="AE3" s="40">
        <v>0.006944444444444444</v>
      </c>
      <c r="AG3" s="39" t="s">
        <v>44</v>
      </c>
      <c r="AJ3" s="41" t="s">
        <v>44</v>
      </c>
      <c r="AL3" s="42" t="s">
        <v>45</v>
      </c>
      <c r="AP3" s="43" t="str">
        <f t="shared" ref="AP3:AP156" si="1">IF(C3="","",
IF(AG3="","AGD OFRAG",
IF(AND(AG3&lt;&gt;"",AV3=""),"PROGRAMADA",
IF(AND(AG3&lt;&gt;"",AV3="ARR"),"REALIZADO",
IF(AND(AG3&lt;&gt;"",OR(AV3="SMAT",AV3="SMET",AV3="SOSP",AV3="VMAT",AV3="VMET",AV3="VOSP")),"ABORTIVA",
IF(AND(AG3&lt;&gt;"",AV3&lt;&gt;""),"EM EXECUÇÃO"))))))</f>
        <v>REALIZADO</v>
      </c>
      <c r="AV3" s="44" t="s">
        <v>46</v>
      </c>
      <c r="AW3" s="45"/>
      <c r="AX3" s="35"/>
    </row>
    <row r="4" hidden="1">
      <c r="A4" s="24"/>
      <c r="B4" s="36" t="s">
        <v>34</v>
      </c>
      <c r="C4" s="37">
        <v>45518.0</v>
      </c>
      <c r="F4" s="38">
        <v>0.5833333333333334</v>
      </c>
      <c r="I4" s="39" t="s">
        <v>47</v>
      </c>
      <c r="S4" s="39" t="s">
        <v>48</v>
      </c>
      <c r="AE4" s="40">
        <v>0.4027777777777778</v>
      </c>
      <c r="AG4" s="39" t="s">
        <v>49</v>
      </c>
      <c r="AJ4" s="41" t="s">
        <v>50</v>
      </c>
      <c r="AL4" s="42" t="s">
        <v>45</v>
      </c>
      <c r="AP4" s="43" t="str">
        <f t="shared" si="1"/>
        <v>REALIZADO</v>
      </c>
      <c r="AV4" s="44" t="s">
        <v>46</v>
      </c>
      <c r="AW4" s="45"/>
      <c r="AX4" s="35"/>
    </row>
    <row r="5" hidden="1">
      <c r="A5" s="24"/>
      <c r="B5" s="36" t="s">
        <v>41</v>
      </c>
      <c r="C5" s="37">
        <v>45519.0</v>
      </c>
      <c r="F5" s="38">
        <v>0.5</v>
      </c>
      <c r="I5" s="39" t="s">
        <v>51</v>
      </c>
      <c r="S5" s="39" t="s">
        <v>52</v>
      </c>
      <c r="AE5" s="40">
        <v>0.041666666666666664</v>
      </c>
      <c r="AG5" s="39" t="s">
        <v>44</v>
      </c>
      <c r="AJ5" s="41" t="s">
        <v>44</v>
      </c>
      <c r="AL5" s="42" t="s">
        <v>53</v>
      </c>
      <c r="AP5" s="43" t="str">
        <f t="shared" si="1"/>
        <v>REALIZADO</v>
      </c>
      <c r="AV5" s="44" t="s">
        <v>46</v>
      </c>
      <c r="AW5" s="45"/>
      <c r="AX5" s="35"/>
    </row>
    <row r="6" hidden="1">
      <c r="A6" s="24"/>
      <c r="B6" s="36" t="s">
        <v>41</v>
      </c>
      <c r="C6" s="37">
        <v>45519.0</v>
      </c>
      <c r="F6" s="38">
        <v>0.5416666666666666</v>
      </c>
      <c r="I6" s="39" t="s">
        <v>51</v>
      </c>
      <c r="S6" s="39" t="s">
        <v>52</v>
      </c>
      <c r="AE6" s="40">
        <v>0.041666666666666664</v>
      </c>
      <c r="AG6" s="39" t="s">
        <v>44</v>
      </c>
      <c r="AJ6" s="41" t="s">
        <v>44</v>
      </c>
      <c r="AL6" s="42" t="s">
        <v>53</v>
      </c>
      <c r="AP6" s="43" t="str">
        <f t="shared" si="1"/>
        <v>REALIZADO</v>
      </c>
      <c r="AV6" s="44" t="s">
        <v>46</v>
      </c>
      <c r="AW6" s="45"/>
      <c r="AX6" s="35"/>
    </row>
    <row r="7" hidden="1">
      <c r="A7" s="24"/>
      <c r="B7" s="36" t="s">
        <v>41</v>
      </c>
      <c r="C7" s="37">
        <v>45519.0</v>
      </c>
      <c r="F7" s="38">
        <v>0.75</v>
      </c>
      <c r="I7" s="39" t="s">
        <v>54</v>
      </c>
      <c r="S7" s="39" t="s">
        <v>55</v>
      </c>
      <c r="AE7" s="40">
        <v>0.041666666666666664</v>
      </c>
      <c r="AG7" s="39" t="s">
        <v>44</v>
      </c>
      <c r="AJ7" s="41" t="s">
        <v>44</v>
      </c>
      <c r="AL7" s="42" t="s">
        <v>56</v>
      </c>
      <c r="AP7" s="43" t="str">
        <f t="shared" si="1"/>
        <v>ABORTIVA</v>
      </c>
      <c r="AV7" s="44" t="s">
        <v>57</v>
      </c>
      <c r="AW7" s="45"/>
      <c r="AX7" s="35"/>
    </row>
    <row r="8" hidden="1">
      <c r="A8" s="24"/>
      <c r="B8" s="36" t="s">
        <v>34</v>
      </c>
      <c r="C8" s="37">
        <v>45520.0</v>
      </c>
      <c r="F8" s="38">
        <v>0.5</v>
      </c>
      <c r="I8" s="39" t="s">
        <v>58</v>
      </c>
      <c r="S8" s="39" t="s">
        <v>59</v>
      </c>
      <c r="AE8" s="40">
        <v>0.3923611111111111</v>
      </c>
      <c r="AG8" s="39" t="s">
        <v>60</v>
      </c>
      <c r="AJ8" s="41" t="s">
        <v>61</v>
      </c>
      <c r="AL8" s="42" t="s">
        <v>53</v>
      </c>
      <c r="AP8" s="43" t="str">
        <f t="shared" si="1"/>
        <v>REALIZADO</v>
      </c>
      <c r="AV8" s="44" t="s">
        <v>46</v>
      </c>
      <c r="AW8" s="45"/>
      <c r="AX8" s="35"/>
    </row>
    <row r="9" hidden="1">
      <c r="A9" s="24"/>
      <c r="B9" s="36" t="s">
        <v>34</v>
      </c>
      <c r="C9" s="37">
        <v>45523.0</v>
      </c>
      <c r="F9" s="38">
        <v>0.7083333333333334</v>
      </c>
      <c r="I9" s="39" t="s">
        <v>62</v>
      </c>
      <c r="S9" s="39" t="s">
        <v>63</v>
      </c>
      <c r="AE9" s="40">
        <v>0.4027777777777778</v>
      </c>
      <c r="AG9" s="39">
        <v>2757.0</v>
      </c>
      <c r="AJ9" s="41" t="s">
        <v>64</v>
      </c>
      <c r="AL9" s="42" t="s">
        <v>45</v>
      </c>
      <c r="AP9" s="43" t="str">
        <f t="shared" si="1"/>
        <v>REALIZADO</v>
      </c>
      <c r="AV9" s="44" t="s">
        <v>46</v>
      </c>
      <c r="AW9" s="45"/>
      <c r="AX9" s="35"/>
    </row>
    <row r="10" hidden="1">
      <c r="A10" s="24"/>
      <c r="B10" s="36" t="s">
        <v>41</v>
      </c>
      <c r="C10" s="37">
        <v>45523.0</v>
      </c>
      <c r="F10" s="38">
        <v>0.7916666666666666</v>
      </c>
      <c r="I10" s="39" t="s">
        <v>65</v>
      </c>
      <c r="S10" s="39" t="s">
        <v>66</v>
      </c>
      <c r="AE10" s="40">
        <v>0.041666666666666664</v>
      </c>
      <c r="AG10" s="39" t="s">
        <v>67</v>
      </c>
      <c r="AJ10" s="41"/>
      <c r="AL10" s="42" t="s">
        <v>68</v>
      </c>
      <c r="AP10" s="43" t="str">
        <f t="shared" si="1"/>
        <v>ABORTIVA</v>
      </c>
      <c r="AV10" s="44" t="s">
        <v>69</v>
      </c>
      <c r="AW10" s="45"/>
      <c r="AX10" s="35"/>
    </row>
    <row r="11" hidden="1">
      <c r="A11" s="24"/>
      <c r="B11" s="36" t="s">
        <v>41</v>
      </c>
      <c r="C11" s="37">
        <v>45524.0</v>
      </c>
      <c r="F11" s="38">
        <v>0.7083333333333334</v>
      </c>
      <c r="I11" s="39" t="s">
        <v>70</v>
      </c>
      <c r="S11" s="39" t="s">
        <v>66</v>
      </c>
      <c r="AE11" s="40">
        <v>0.041666666666666664</v>
      </c>
      <c r="AG11" s="46" t="s">
        <v>44</v>
      </c>
      <c r="AJ11" s="47" t="s">
        <v>44</v>
      </c>
      <c r="AL11" s="42" t="s">
        <v>53</v>
      </c>
      <c r="AP11" s="43" t="str">
        <f t="shared" si="1"/>
        <v>REALIZADO</v>
      </c>
      <c r="AV11" s="44" t="s">
        <v>46</v>
      </c>
      <c r="AW11" s="45"/>
      <c r="AX11" s="35"/>
    </row>
    <row r="12" hidden="1">
      <c r="A12" s="24"/>
      <c r="B12" s="36" t="s">
        <v>34</v>
      </c>
      <c r="C12" s="37">
        <v>45524.0</v>
      </c>
      <c r="F12" s="38">
        <v>0.1527777777777778</v>
      </c>
      <c r="I12" s="39" t="s">
        <v>71</v>
      </c>
      <c r="S12" s="39" t="s">
        <v>72</v>
      </c>
      <c r="AE12" s="40">
        <v>0.3263888888888889</v>
      </c>
      <c r="AG12" s="39" t="s">
        <v>73</v>
      </c>
      <c r="AJ12" s="41" t="s">
        <v>74</v>
      </c>
      <c r="AL12" s="42" t="s">
        <v>53</v>
      </c>
      <c r="AP12" s="43" t="str">
        <f t="shared" si="1"/>
        <v>REALIZADO</v>
      </c>
      <c r="AV12" s="44" t="s">
        <v>46</v>
      </c>
      <c r="AW12" s="45"/>
      <c r="AX12" s="35"/>
    </row>
    <row r="13" hidden="1">
      <c r="A13" s="24"/>
      <c r="B13" s="36" t="s">
        <v>41</v>
      </c>
      <c r="C13" s="37">
        <v>45525.0</v>
      </c>
      <c r="F13" s="38">
        <v>0.5416666666666666</v>
      </c>
      <c r="I13" s="39" t="s">
        <v>75</v>
      </c>
      <c r="S13" s="39" t="s">
        <v>55</v>
      </c>
      <c r="AE13" s="40">
        <v>0.041666666666666664</v>
      </c>
      <c r="AG13" s="39" t="s">
        <v>76</v>
      </c>
      <c r="AJ13" s="47" t="s">
        <v>44</v>
      </c>
      <c r="AL13" s="42" t="s">
        <v>45</v>
      </c>
      <c r="AP13" s="43" t="str">
        <f t="shared" si="1"/>
        <v>REALIZADO</v>
      </c>
      <c r="AV13" s="44" t="s">
        <v>46</v>
      </c>
      <c r="AW13" s="45"/>
      <c r="AX13" s="35"/>
    </row>
    <row r="14" hidden="1">
      <c r="A14" s="24"/>
      <c r="B14" s="36" t="s">
        <v>34</v>
      </c>
      <c r="C14" s="37">
        <v>45525.0</v>
      </c>
      <c r="F14" s="38">
        <v>0.5</v>
      </c>
      <c r="I14" s="39" t="s">
        <v>77</v>
      </c>
      <c r="S14" s="39" t="s">
        <v>78</v>
      </c>
      <c r="AE14" s="40">
        <v>0.14930555555555555</v>
      </c>
      <c r="AG14" s="39">
        <v>2748.0</v>
      </c>
      <c r="AJ14" s="41" t="s">
        <v>44</v>
      </c>
      <c r="AL14" s="42" t="s">
        <v>68</v>
      </c>
      <c r="AP14" s="43" t="str">
        <f t="shared" si="1"/>
        <v>ABORTIVA</v>
      </c>
      <c r="AV14" s="44" t="s">
        <v>69</v>
      </c>
      <c r="AW14" s="45"/>
      <c r="AX14" s="35"/>
    </row>
    <row r="15" hidden="1">
      <c r="A15" s="24"/>
      <c r="B15" s="36" t="s">
        <v>34</v>
      </c>
      <c r="C15" s="37">
        <v>45526.0</v>
      </c>
      <c r="F15" s="38">
        <v>0.6666666666666666</v>
      </c>
      <c r="I15" s="39" t="s">
        <v>79</v>
      </c>
      <c r="S15" s="39" t="s">
        <v>80</v>
      </c>
      <c r="AE15" s="40">
        <v>0.4097222222222222</v>
      </c>
      <c r="AG15" s="39">
        <v>2770.0</v>
      </c>
      <c r="AJ15" s="41" t="s">
        <v>81</v>
      </c>
      <c r="AL15" s="42" t="s">
        <v>56</v>
      </c>
      <c r="AP15" s="43" t="str">
        <f t="shared" si="1"/>
        <v>REALIZADO</v>
      </c>
      <c r="AV15" s="44" t="s">
        <v>46</v>
      </c>
      <c r="AW15" s="45"/>
      <c r="AX15" s="35"/>
    </row>
    <row r="16" hidden="1">
      <c r="A16" s="24"/>
      <c r="B16" s="36" t="s">
        <v>34</v>
      </c>
      <c r="C16" s="37">
        <v>45528.0</v>
      </c>
      <c r="F16" s="38">
        <v>0.5</v>
      </c>
      <c r="I16" s="39" t="s">
        <v>77</v>
      </c>
      <c r="S16" s="39" t="s">
        <v>78</v>
      </c>
      <c r="AE16" s="40">
        <v>0.2013888888888889</v>
      </c>
      <c r="AG16" s="39">
        <v>2786.0</v>
      </c>
      <c r="AJ16" s="41" t="s">
        <v>44</v>
      </c>
      <c r="AL16" s="42" t="s">
        <v>82</v>
      </c>
      <c r="AP16" s="43" t="str">
        <f t="shared" si="1"/>
        <v>ABORTIVA</v>
      </c>
      <c r="AV16" s="44" t="s">
        <v>69</v>
      </c>
      <c r="AW16" s="45"/>
      <c r="AX16" s="35"/>
    </row>
    <row r="17" hidden="1">
      <c r="A17" s="24"/>
      <c r="B17" s="36" t="s">
        <v>41</v>
      </c>
      <c r="C17" s="37">
        <v>45526.0</v>
      </c>
      <c r="F17" s="38">
        <v>0.5208333333333334</v>
      </c>
      <c r="I17" s="39" t="s">
        <v>83</v>
      </c>
      <c r="S17" s="39" t="s">
        <v>84</v>
      </c>
      <c r="AE17" s="40">
        <v>0.003472222222222222</v>
      </c>
      <c r="AG17" s="39" t="s">
        <v>44</v>
      </c>
      <c r="AJ17" s="41" t="s">
        <v>44</v>
      </c>
      <c r="AL17" s="42" t="s">
        <v>82</v>
      </c>
      <c r="AP17" s="43" t="str">
        <f t="shared" si="1"/>
        <v>REALIZADO</v>
      </c>
      <c r="AV17" s="44" t="s">
        <v>46</v>
      </c>
      <c r="AW17" s="45"/>
      <c r="AX17" s="35"/>
    </row>
    <row r="18" hidden="1">
      <c r="A18" s="24"/>
      <c r="B18" s="36" t="s">
        <v>34</v>
      </c>
      <c r="C18" s="37">
        <v>45527.0</v>
      </c>
      <c r="F18" s="38">
        <v>0.7083333333333334</v>
      </c>
      <c r="I18" s="39" t="s">
        <v>85</v>
      </c>
      <c r="S18" s="39" t="s">
        <v>86</v>
      </c>
      <c r="AE18" s="40">
        <v>0.2013888888888889</v>
      </c>
      <c r="AG18" s="39">
        <v>2822.0</v>
      </c>
      <c r="AJ18" s="41" t="s">
        <v>87</v>
      </c>
      <c r="AL18" s="42" t="s">
        <v>53</v>
      </c>
      <c r="AP18" s="43" t="str">
        <f t="shared" si="1"/>
        <v>REALIZADO</v>
      </c>
      <c r="AV18" s="44" t="s">
        <v>46</v>
      </c>
      <c r="AW18" s="45"/>
      <c r="AX18" s="35"/>
    </row>
    <row r="19" hidden="1">
      <c r="A19" s="24"/>
      <c r="B19" s="36" t="s">
        <v>34</v>
      </c>
      <c r="C19" s="37">
        <v>45530.0</v>
      </c>
      <c r="F19" s="38">
        <v>0.5</v>
      </c>
      <c r="I19" s="39" t="s">
        <v>88</v>
      </c>
      <c r="S19" s="39" t="s">
        <v>89</v>
      </c>
      <c r="AE19" s="40">
        <v>0.2777777777777778</v>
      </c>
      <c r="AG19" s="39">
        <v>2815.0</v>
      </c>
      <c r="AJ19" s="41" t="s">
        <v>90</v>
      </c>
      <c r="AL19" s="42" t="s">
        <v>56</v>
      </c>
      <c r="AP19" s="43" t="str">
        <f t="shared" si="1"/>
        <v>REALIZADO</v>
      </c>
      <c r="AV19" s="44" t="s">
        <v>46</v>
      </c>
      <c r="AW19" s="45"/>
      <c r="AX19" s="35"/>
    </row>
    <row r="20" hidden="1">
      <c r="A20" s="24"/>
      <c r="B20" s="36" t="s">
        <v>41</v>
      </c>
      <c r="C20" s="37">
        <v>45531.0</v>
      </c>
      <c r="F20" s="38">
        <v>0.5833333333333334</v>
      </c>
      <c r="I20" s="39" t="s">
        <v>91</v>
      </c>
      <c r="S20" s="39" t="s">
        <v>92</v>
      </c>
      <c r="AE20" s="40">
        <v>0.003472222222222222</v>
      </c>
      <c r="AG20" s="39" t="s">
        <v>44</v>
      </c>
      <c r="AJ20" s="41" t="s">
        <v>44</v>
      </c>
      <c r="AL20" s="42" t="s">
        <v>93</v>
      </c>
      <c r="AP20" s="43" t="str">
        <f t="shared" si="1"/>
        <v>REALIZADO</v>
      </c>
      <c r="AV20" s="44" t="s">
        <v>46</v>
      </c>
      <c r="AW20" s="45"/>
      <c r="AX20" s="35"/>
    </row>
    <row r="21" hidden="1">
      <c r="A21" s="24"/>
      <c r="B21" s="36" t="s">
        <v>41</v>
      </c>
      <c r="C21" s="37">
        <v>45531.0</v>
      </c>
      <c r="F21" s="38">
        <v>0.7083333333333334</v>
      </c>
      <c r="I21" s="39" t="s">
        <v>94</v>
      </c>
      <c r="S21" s="39" t="s">
        <v>43</v>
      </c>
      <c r="AE21" s="40">
        <v>0.006944444444444444</v>
      </c>
      <c r="AG21" s="39" t="s">
        <v>44</v>
      </c>
      <c r="AJ21" s="41" t="s">
        <v>44</v>
      </c>
      <c r="AL21" s="42" t="s">
        <v>56</v>
      </c>
      <c r="AP21" s="43" t="str">
        <f t="shared" si="1"/>
        <v>REALIZADO</v>
      </c>
      <c r="AV21" s="44" t="s">
        <v>46</v>
      </c>
      <c r="AW21" s="45"/>
      <c r="AX21" s="35"/>
    </row>
    <row r="22" hidden="1">
      <c r="A22" s="24"/>
      <c r="B22" s="36" t="s">
        <v>41</v>
      </c>
      <c r="C22" s="37">
        <v>45532.0</v>
      </c>
      <c r="F22" s="38">
        <v>0.4583333333333333</v>
      </c>
      <c r="I22" s="39" t="s">
        <v>95</v>
      </c>
      <c r="S22" s="39" t="s">
        <v>55</v>
      </c>
      <c r="AE22" s="40">
        <v>0.041666666666666664</v>
      </c>
      <c r="AG22" s="39" t="s">
        <v>76</v>
      </c>
      <c r="AJ22" s="41" t="s">
        <v>44</v>
      </c>
      <c r="AL22" s="42" t="s">
        <v>53</v>
      </c>
      <c r="AP22" s="43" t="str">
        <f t="shared" si="1"/>
        <v>REALIZADO</v>
      </c>
      <c r="AV22" s="44" t="s">
        <v>46</v>
      </c>
      <c r="AW22" s="45"/>
      <c r="AX22" s="35"/>
    </row>
    <row r="23" hidden="1">
      <c r="A23" s="24"/>
      <c r="B23" s="36" t="s">
        <v>41</v>
      </c>
      <c r="C23" s="37">
        <v>45533.0</v>
      </c>
      <c r="F23" s="38">
        <v>0.5625</v>
      </c>
      <c r="I23" s="39" t="s">
        <v>96</v>
      </c>
      <c r="S23" s="39" t="s">
        <v>66</v>
      </c>
      <c r="AE23" s="40">
        <v>0.041666666666666664</v>
      </c>
      <c r="AG23" s="39" t="s">
        <v>67</v>
      </c>
      <c r="AJ23" s="41" t="s">
        <v>44</v>
      </c>
      <c r="AL23" s="42" t="s">
        <v>68</v>
      </c>
      <c r="AP23" s="43" t="str">
        <f t="shared" si="1"/>
        <v>ABORTIVA</v>
      </c>
      <c r="AV23" s="44" t="s">
        <v>69</v>
      </c>
      <c r="AW23" s="45"/>
      <c r="AX23" s="35"/>
    </row>
    <row r="24" hidden="1">
      <c r="A24" s="24"/>
      <c r="B24" s="36" t="s">
        <v>41</v>
      </c>
      <c r="C24" s="37">
        <v>45533.0</v>
      </c>
      <c r="F24" s="38">
        <v>0.7291666666666666</v>
      </c>
      <c r="I24" s="39" t="s">
        <v>97</v>
      </c>
      <c r="S24" s="39" t="s">
        <v>66</v>
      </c>
      <c r="AE24" s="40">
        <v>0.041666666666666664</v>
      </c>
      <c r="AG24" s="39" t="s">
        <v>67</v>
      </c>
      <c r="AJ24" s="41" t="s">
        <v>44</v>
      </c>
      <c r="AL24" s="42" t="s">
        <v>45</v>
      </c>
      <c r="AP24" s="43" t="str">
        <f t="shared" si="1"/>
        <v>ABORTIVA</v>
      </c>
      <c r="AV24" s="44" t="s">
        <v>98</v>
      </c>
      <c r="AW24" s="45"/>
      <c r="AX24" s="35"/>
    </row>
    <row r="25" hidden="1">
      <c r="A25" s="24"/>
      <c r="B25" s="36" t="s">
        <v>41</v>
      </c>
      <c r="C25" s="37">
        <v>45534.0</v>
      </c>
      <c r="F25" s="38">
        <v>0.375</v>
      </c>
      <c r="I25" s="39" t="s">
        <v>99</v>
      </c>
      <c r="S25" s="39" t="s">
        <v>66</v>
      </c>
      <c r="AE25" s="40">
        <v>0.041666666666666664</v>
      </c>
      <c r="AG25" s="39" t="s">
        <v>67</v>
      </c>
      <c r="AJ25" s="41" t="s">
        <v>44</v>
      </c>
      <c r="AL25" s="42" t="s">
        <v>68</v>
      </c>
      <c r="AP25" s="43" t="str">
        <f t="shared" si="1"/>
        <v>ABORTIVA</v>
      </c>
      <c r="AV25" s="44" t="s">
        <v>69</v>
      </c>
      <c r="AW25" s="45"/>
      <c r="AX25" s="35"/>
    </row>
    <row r="26" hidden="1">
      <c r="A26" s="24"/>
      <c r="B26" s="36" t="s">
        <v>41</v>
      </c>
      <c r="C26" s="37">
        <v>45534.0</v>
      </c>
      <c r="F26" s="38">
        <v>0.4583333333333333</v>
      </c>
      <c r="I26" s="39" t="s">
        <v>100</v>
      </c>
      <c r="S26" s="39" t="s">
        <v>66</v>
      </c>
      <c r="AE26" s="40">
        <v>0.020833333333333332</v>
      </c>
      <c r="AG26" s="39" t="s">
        <v>67</v>
      </c>
      <c r="AJ26" s="41" t="s">
        <v>44</v>
      </c>
      <c r="AL26" s="42" t="s">
        <v>45</v>
      </c>
      <c r="AP26" s="43" t="str">
        <f t="shared" si="1"/>
        <v>ABORTIVA</v>
      </c>
      <c r="AV26" s="44" t="s">
        <v>98</v>
      </c>
      <c r="AW26" s="45"/>
      <c r="AX26" s="35"/>
    </row>
    <row r="27" hidden="1">
      <c r="A27" s="24"/>
      <c r="B27" s="36" t="s">
        <v>34</v>
      </c>
      <c r="C27" s="37">
        <v>45534.0</v>
      </c>
      <c r="F27" s="38">
        <v>0.8159722222222222</v>
      </c>
      <c r="I27" s="39" t="s">
        <v>101</v>
      </c>
      <c r="S27" s="39" t="s">
        <v>102</v>
      </c>
      <c r="AE27" s="40">
        <v>0.05555555555555555</v>
      </c>
      <c r="AG27" s="39" t="s">
        <v>103</v>
      </c>
      <c r="AJ27" s="41" t="s">
        <v>104</v>
      </c>
      <c r="AL27" s="42" t="s">
        <v>53</v>
      </c>
      <c r="AP27" s="43" t="str">
        <f t="shared" si="1"/>
        <v>ABORTIVA</v>
      </c>
      <c r="AV27" s="44" t="s">
        <v>105</v>
      </c>
      <c r="AW27" s="45"/>
      <c r="AX27" s="35"/>
    </row>
    <row r="28" hidden="1">
      <c r="A28" s="24"/>
      <c r="B28" s="36" t="s">
        <v>34</v>
      </c>
      <c r="C28" s="37">
        <v>45536.0</v>
      </c>
      <c r="F28" s="38">
        <v>0.75</v>
      </c>
      <c r="I28" s="39" t="s">
        <v>106</v>
      </c>
      <c r="S28" s="39" t="s">
        <v>107</v>
      </c>
      <c r="AE28" s="40">
        <v>0.125</v>
      </c>
      <c r="AG28" s="39" t="s">
        <v>108</v>
      </c>
      <c r="AJ28" s="41" t="s">
        <v>109</v>
      </c>
      <c r="AL28" s="42" t="s">
        <v>53</v>
      </c>
      <c r="AP28" s="43" t="str">
        <f t="shared" si="1"/>
        <v>REALIZADO</v>
      </c>
      <c r="AV28" s="44" t="s">
        <v>46</v>
      </c>
      <c r="AW28" s="45"/>
      <c r="AX28" s="35"/>
    </row>
    <row r="29" hidden="1">
      <c r="A29" s="24"/>
      <c r="B29" s="36" t="s">
        <v>41</v>
      </c>
      <c r="C29" s="37">
        <v>45537.0</v>
      </c>
      <c r="F29" s="38">
        <v>0.5625</v>
      </c>
      <c r="I29" s="39" t="s">
        <v>110</v>
      </c>
      <c r="S29" s="39" t="s">
        <v>92</v>
      </c>
      <c r="AE29" s="40">
        <v>0.003472222222222222</v>
      </c>
      <c r="AG29" s="39" t="s">
        <v>44</v>
      </c>
      <c r="AJ29" s="41" t="s">
        <v>44</v>
      </c>
      <c r="AL29" s="42" t="s">
        <v>68</v>
      </c>
      <c r="AP29" s="43" t="str">
        <f t="shared" si="1"/>
        <v>REALIZADO</v>
      </c>
      <c r="AV29" s="44" t="s">
        <v>46</v>
      </c>
      <c r="AW29" s="45"/>
      <c r="AX29" s="35"/>
    </row>
    <row r="30" hidden="1">
      <c r="A30" s="24"/>
      <c r="B30" s="36" t="s">
        <v>41</v>
      </c>
      <c r="C30" s="37">
        <v>45537.0</v>
      </c>
      <c r="F30" s="38">
        <v>0.7083333333333334</v>
      </c>
      <c r="I30" s="39" t="s">
        <v>111</v>
      </c>
      <c r="S30" s="39" t="s">
        <v>66</v>
      </c>
      <c r="AE30" s="40">
        <v>0.041666666666666664</v>
      </c>
      <c r="AG30" s="39" t="s">
        <v>67</v>
      </c>
      <c r="AJ30" s="41" t="s">
        <v>44</v>
      </c>
      <c r="AL30" s="42" t="s">
        <v>45</v>
      </c>
      <c r="AP30" s="43" t="str">
        <f t="shared" si="1"/>
        <v>ABORTIVA</v>
      </c>
      <c r="AV30" s="44" t="s">
        <v>98</v>
      </c>
      <c r="AW30" s="45"/>
      <c r="AX30" s="35"/>
    </row>
    <row r="31" hidden="1">
      <c r="A31" s="24"/>
      <c r="B31" s="36" t="s">
        <v>41</v>
      </c>
      <c r="C31" s="37">
        <v>45537.0</v>
      </c>
      <c r="F31" s="43" t="s">
        <v>112</v>
      </c>
      <c r="I31" s="39" t="s">
        <v>99</v>
      </c>
      <c r="S31" s="39" t="s">
        <v>66</v>
      </c>
      <c r="AE31" s="40">
        <v>0.041666666666666664</v>
      </c>
      <c r="AG31" s="39" t="s">
        <v>67</v>
      </c>
      <c r="AJ31" s="41" t="s">
        <v>44</v>
      </c>
      <c r="AL31" s="42" t="s">
        <v>68</v>
      </c>
      <c r="AP31" s="43" t="str">
        <f t="shared" si="1"/>
        <v>REALIZADO</v>
      </c>
      <c r="AV31" s="44" t="s">
        <v>46</v>
      </c>
      <c r="AW31" s="45"/>
      <c r="AX31" s="35"/>
    </row>
    <row r="32" hidden="1">
      <c r="A32" s="24"/>
      <c r="B32" s="36" t="s">
        <v>34</v>
      </c>
      <c r="C32" s="37">
        <v>45538.0</v>
      </c>
      <c r="F32" s="38">
        <v>0.5</v>
      </c>
      <c r="I32" s="39" t="s">
        <v>113</v>
      </c>
      <c r="S32" s="39" t="s">
        <v>114</v>
      </c>
      <c r="AE32" s="40">
        <v>0.2361111111111111</v>
      </c>
      <c r="AG32" s="39" t="s">
        <v>115</v>
      </c>
      <c r="AJ32" s="41" t="s">
        <v>116</v>
      </c>
      <c r="AL32" s="42" t="s">
        <v>68</v>
      </c>
      <c r="AP32" s="43" t="str">
        <f t="shared" si="1"/>
        <v>REALIZADO</v>
      </c>
      <c r="AV32" s="44" t="s">
        <v>46</v>
      </c>
      <c r="AW32" s="45"/>
      <c r="AX32" s="35"/>
    </row>
    <row r="33" hidden="1">
      <c r="A33" s="24"/>
      <c r="B33" s="36" t="s">
        <v>41</v>
      </c>
      <c r="C33" s="37">
        <v>45539.0</v>
      </c>
      <c r="F33" s="38">
        <v>0.4791666666666667</v>
      </c>
      <c r="I33" s="39" t="s">
        <v>117</v>
      </c>
      <c r="S33" s="39" t="s">
        <v>118</v>
      </c>
      <c r="AE33" s="40">
        <v>0.041666666666666664</v>
      </c>
      <c r="AG33" s="39" t="s">
        <v>119</v>
      </c>
      <c r="AJ33" s="41" t="s">
        <v>44</v>
      </c>
      <c r="AL33" s="42" t="s">
        <v>53</v>
      </c>
      <c r="AP33" s="43" t="str">
        <f t="shared" si="1"/>
        <v>REALIZADO</v>
      </c>
      <c r="AV33" s="44" t="s">
        <v>46</v>
      </c>
      <c r="AW33" s="45"/>
      <c r="AX33" s="35"/>
    </row>
    <row r="34" hidden="1">
      <c r="A34" s="24"/>
      <c r="B34" s="36" t="s">
        <v>41</v>
      </c>
      <c r="C34" s="37">
        <v>45539.0</v>
      </c>
      <c r="F34" s="38">
        <v>0.5208333333333334</v>
      </c>
      <c r="I34" s="39" t="s">
        <v>120</v>
      </c>
      <c r="S34" s="39" t="s">
        <v>43</v>
      </c>
      <c r="AE34" s="40">
        <v>0.006944444444444444</v>
      </c>
      <c r="AG34" s="39" t="s">
        <v>44</v>
      </c>
      <c r="AJ34" s="41" t="s">
        <v>44</v>
      </c>
      <c r="AL34" s="42" t="s">
        <v>45</v>
      </c>
      <c r="AP34" s="43" t="str">
        <f t="shared" si="1"/>
        <v>REALIZADO</v>
      </c>
      <c r="AV34" s="44" t="s">
        <v>46</v>
      </c>
      <c r="AW34" s="45"/>
      <c r="AX34" s="35"/>
    </row>
    <row r="35" hidden="1">
      <c r="A35" s="24"/>
      <c r="B35" s="36" t="s">
        <v>41</v>
      </c>
      <c r="C35" s="37">
        <v>45539.0</v>
      </c>
      <c r="F35" s="38">
        <v>0.7083333333333334</v>
      </c>
      <c r="I35" s="39" t="s">
        <v>121</v>
      </c>
      <c r="S35" s="39" t="s">
        <v>43</v>
      </c>
      <c r="AE35" s="40">
        <v>0.006944444444444444</v>
      </c>
      <c r="AG35" s="39" t="s">
        <v>44</v>
      </c>
      <c r="AJ35" s="41" t="s">
        <v>44</v>
      </c>
      <c r="AL35" s="42" t="s">
        <v>45</v>
      </c>
      <c r="AP35" s="43" t="str">
        <f t="shared" si="1"/>
        <v>REALIZADO</v>
      </c>
      <c r="AV35" s="44" t="s">
        <v>46</v>
      </c>
      <c r="AW35" s="45"/>
      <c r="AX35" s="35"/>
    </row>
    <row r="36" hidden="1">
      <c r="A36" s="24"/>
      <c r="B36" s="36" t="s">
        <v>41</v>
      </c>
      <c r="C36" s="37">
        <v>45539.0</v>
      </c>
      <c r="F36" s="38">
        <v>0.7291666666666666</v>
      </c>
      <c r="I36" s="39" t="s">
        <v>122</v>
      </c>
      <c r="S36" s="39" t="s">
        <v>55</v>
      </c>
      <c r="AE36" s="40">
        <v>0.041666666666666664</v>
      </c>
      <c r="AG36" s="39" t="s">
        <v>76</v>
      </c>
      <c r="AJ36" s="47" t="s">
        <v>44</v>
      </c>
      <c r="AL36" s="42" t="s">
        <v>53</v>
      </c>
      <c r="AP36" s="43" t="str">
        <f t="shared" si="1"/>
        <v>REALIZADO</v>
      </c>
      <c r="AV36" s="44" t="s">
        <v>46</v>
      </c>
      <c r="AW36" s="45"/>
      <c r="AX36" s="35"/>
    </row>
    <row r="37" hidden="1">
      <c r="A37" s="24"/>
      <c r="B37" s="36" t="s">
        <v>34</v>
      </c>
      <c r="C37" s="37">
        <v>45540.0</v>
      </c>
      <c r="F37" s="38">
        <v>0.4583333333333333</v>
      </c>
      <c r="I37" s="39" t="s">
        <v>123</v>
      </c>
      <c r="S37" s="39" t="s">
        <v>124</v>
      </c>
      <c r="AE37" s="40">
        <v>0.08333333333333333</v>
      </c>
      <c r="AG37" s="39" t="s">
        <v>125</v>
      </c>
      <c r="AJ37" s="41" t="s">
        <v>126</v>
      </c>
      <c r="AL37" s="42" t="s">
        <v>45</v>
      </c>
      <c r="AP37" s="43" t="str">
        <f t="shared" si="1"/>
        <v>REALIZADO</v>
      </c>
      <c r="AV37" s="44" t="s">
        <v>46</v>
      </c>
      <c r="AW37" s="45"/>
      <c r="AX37" s="35"/>
    </row>
    <row r="38" hidden="1">
      <c r="A38" s="24"/>
      <c r="B38" s="36" t="s">
        <v>41</v>
      </c>
      <c r="C38" s="37">
        <v>45540.0</v>
      </c>
      <c r="F38" s="38">
        <v>0.5</v>
      </c>
      <c r="I38" s="39" t="s">
        <v>127</v>
      </c>
      <c r="S38" s="39" t="s">
        <v>55</v>
      </c>
      <c r="AE38" s="40">
        <v>0.041666666666666664</v>
      </c>
      <c r="AG38" s="39" t="s">
        <v>76</v>
      </c>
      <c r="AJ38" s="47" t="s">
        <v>44</v>
      </c>
      <c r="AL38" s="42" t="s">
        <v>53</v>
      </c>
      <c r="AP38" s="43" t="str">
        <f t="shared" si="1"/>
        <v>REALIZADO</v>
      </c>
      <c r="AV38" s="44" t="s">
        <v>46</v>
      </c>
      <c r="AW38" s="45"/>
      <c r="AX38" s="35"/>
    </row>
    <row r="39" hidden="1">
      <c r="A39" s="24"/>
      <c r="B39" s="36" t="s">
        <v>41</v>
      </c>
      <c r="C39" s="37">
        <v>45540.0</v>
      </c>
      <c r="F39" s="38">
        <v>0.7083333333333334</v>
      </c>
      <c r="I39" s="39" t="s">
        <v>128</v>
      </c>
      <c r="S39" s="39" t="s">
        <v>55</v>
      </c>
      <c r="AE39" s="40">
        <v>0.041666666666666664</v>
      </c>
      <c r="AG39" s="39" t="s">
        <v>76</v>
      </c>
      <c r="AJ39" s="47" t="s">
        <v>44</v>
      </c>
      <c r="AL39" s="42" t="s">
        <v>45</v>
      </c>
      <c r="AP39" s="43" t="str">
        <f t="shared" si="1"/>
        <v>REALIZADO</v>
      </c>
      <c r="AV39" s="44" t="s">
        <v>46</v>
      </c>
      <c r="AW39" s="45"/>
      <c r="AX39" s="35"/>
    </row>
    <row r="40" hidden="1">
      <c r="A40" s="24"/>
      <c r="B40" s="36" t="s">
        <v>34</v>
      </c>
      <c r="C40" s="37">
        <v>45541.0</v>
      </c>
      <c r="F40" s="38">
        <v>0.4583333333333333</v>
      </c>
      <c r="I40" s="39" t="s">
        <v>113</v>
      </c>
      <c r="S40" s="39" t="s">
        <v>129</v>
      </c>
      <c r="AE40" s="40">
        <v>0.3819444444444444</v>
      </c>
      <c r="AG40" s="39" t="s">
        <v>130</v>
      </c>
      <c r="AJ40" s="41" t="s">
        <v>116</v>
      </c>
      <c r="AL40" s="42" t="s">
        <v>68</v>
      </c>
      <c r="AP40" s="43" t="str">
        <f t="shared" si="1"/>
        <v>REALIZADO</v>
      </c>
      <c r="AV40" s="44" t="s">
        <v>46</v>
      </c>
      <c r="AW40" s="45"/>
      <c r="AX40" s="35"/>
    </row>
    <row r="41" hidden="1">
      <c r="A41" s="24"/>
      <c r="B41" s="36" t="s">
        <v>41</v>
      </c>
      <c r="C41" s="37">
        <v>45541.0</v>
      </c>
      <c r="F41" s="38">
        <v>0.5</v>
      </c>
      <c r="I41" s="39" t="s">
        <v>131</v>
      </c>
      <c r="S41" s="39" t="s">
        <v>118</v>
      </c>
      <c r="AE41" s="40">
        <v>0.041666666666666664</v>
      </c>
      <c r="AG41" s="39" t="s">
        <v>119</v>
      </c>
      <c r="AJ41" s="41" t="s">
        <v>44</v>
      </c>
      <c r="AL41" s="42" t="s">
        <v>53</v>
      </c>
      <c r="AP41" s="43" t="str">
        <f t="shared" si="1"/>
        <v>REALIZADO</v>
      </c>
      <c r="AV41" s="44" t="s">
        <v>46</v>
      </c>
      <c r="AW41" s="45"/>
      <c r="AX41" s="35"/>
    </row>
    <row r="42" hidden="1">
      <c r="A42" s="24"/>
      <c r="B42" s="36" t="s">
        <v>34</v>
      </c>
      <c r="C42" s="37">
        <v>45541.0</v>
      </c>
      <c r="F42" s="38">
        <v>0.7291666666666666</v>
      </c>
      <c r="I42" s="39" t="s">
        <v>132</v>
      </c>
      <c r="S42" s="39" t="s">
        <v>107</v>
      </c>
      <c r="AE42" s="40">
        <v>0.125</v>
      </c>
      <c r="AG42" s="39" t="s">
        <v>133</v>
      </c>
      <c r="AJ42" s="41" t="s">
        <v>134</v>
      </c>
      <c r="AL42" s="42" t="s">
        <v>53</v>
      </c>
      <c r="AP42" s="43" t="str">
        <f t="shared" si="1"/>
        <v>REALIZADO</v>
      </c>
      <c r="AV42" s="44" t="s">
        <v>46</v>
      </c>
      <c r="AW42" s="45"/>
      <c r="AX42" s="35"/>
    </row>
    <row r="43" hidden="1">
      <c r="A43" s="24"/>
      <c r="B43" s="36" t="s">
        <v>41</v>
      </c>
      <c r="C43" s="37">
        <v>45541.0</v>
      </c>
      <c r="F43" s="38">
        <v>0.7291666666666666</v>
      </c>
      <c r="I43" s="39" t="s">
        <v>135</v>
      </c>
      <c r="S43" s="39" t="s">
        <v>92</v>
      </c>
      <c r="AE43" s="40">
        <v>0.003472222222222222</v>
      </c>
      <c r="AG43" s="39" t="s">
        <v>44</v>
      </c>
      <c r="AJ43" s="41" t="s">
        <v>44</v>
      </c>
      <c r="AL43" s="42" t="s">
        <v>136</v>
      </c>
      <c r="AP43" s="43" t="str">
        <f t="shared" si="1"/>
        <v>REALIZADO</v>
      </c>
      <c r="AV43" s="44" t="s">
        <v>46</v>
      </c>
      <c r="AW43" s="45"/>
      <c r="AX43" s="35"/>
    </row>
    <row r="44" hidden="1">
      <c r="A44" s="24"/>
      <c r="B44" s="36" t="s">
        <v>41</v>
      </c>
      <c r="C44" s="37">
        <v>45541.0</v>
      </c>
      <c r="F44" s="38">
        <v>0.7361111111111112</v>
      </c>
      <c r="I44" s="39" t="s">
        <v>137</v>
      </c>
      <c r="S44" s="39" t="s">
        <v>92</v>
      </c>
      <c r="AE44" s="40">
        <v>0.003472222222222222</v>
      </c>
      <c r="AG44" s="39" t="s">
        <v>44</v>
      </c>
      <c r="AJ44" s="41" t="s">
        <v>44</v>
      </c>
      <c r="AL44" s="42" t="s">
        <v>136</v>
      </c>
      <c r="AP44" s="43" t="str">
        <f t="shared" si="1"/>
        <v>REALIZADO</v>
      </c>
      <c r="AV44" s="44" t="s">
        <v>46</v>
      </c>
      <c r="AW44" s="45"/>
      <c r="AX44" s="35"/>
    </row>
    <row r="45" hidden="1">
      <c r="A45" s="24"/>
      <c r="B45" s="36" t="s">
        <v>34</v>
      </c>
      <c r="C45" s="37">
        <v>45542.0</v>
      </c>
      <c r="F45" s="38">
        <v>0.5</v>
      </c>
      <c r="I45" s="39" t="s">
        <v>138</v>
      </c>
      <c r="S45" s="39" t="s">
        <v>139</v>
      </c>
      <c r="AE45" s="40">
        <v>0.4270833333333333</v>
      </c>
      <c r="AG45" s="39" t="s">
        <v>140</v>
      </c>
      <c r="AJ45" s="41" t="s">
        <v>141</v>
      </c>
      <c r="AL45" s="42" t="s">
        <v>53</v>
      </c>
      <c r="AP45" s="43" t="str">
        <f t="shared" si="1"/>
        <v>REALIZADO</v>
      </c>
      <c r="AV45" s="44" t="s">
        <v>46</v>
      </c>
      <c r="AW45" s="45"/>
      <c r="AX45" s="35"/>
    </row>
    <row r="46" hidden="1">
      <c r="A46" s="24"/>
      <c r="B46" s="36" t="s">
        <v>34</v>
      </c>
      <c r="C46" s="37">
        <v>45542.0</v>
      </c>
      <c r="F46" s="38">
        <v>0.7083333333333334</v>
      </c>
      <c r="I46" s="39" t="s">
        <v>142</v>
      </c>
      <c r="S46" s="39" t="s">
        <v>143</v>
      </c>
      <c r="AE46" s="40">
        <v>0.3888888888888889</v>
      </c>
      <c r="AG46" s="39" t="s">
        <v>144</v>
      </c>
      <c r="AJ46" s="41" t="s">
        <v>145</v>
      </c>
      <c r="AL46" s="42" t="s">
        <v>68</v>
      </c>
      <c r="AP46" s="43" t="str">
        <f t="shared" si="1"/>
        <v>REALIZADO</v>
      </c>
      <c r="AV46" s="44" t="s">
        <v>46</v>
      </c>
      <c r="AW46" s="45"/>
      <c r="AX46" s="35"/>
    </row>
    <row r="47" hidden="1">
      <c r="A47" s="24"/>
      <c r="B47" s="36" t="s">
        <v>34</v>
      </c>
      <c r="C47" s="37">
        <v>45544.0</v>
      </c>
      <c r="F47" s="38">
        <v>0.375</v>
      </c>
      <c r="I47" s="39" t="s">
        <v>146</v>
      </c>
      <c r="S47" s="39" t="s">
        <v>147</v>
      </c>
      <c r="AE47" s="40">
        <v>0.2847222222222222</v>
      </c>
      <c r="AG47" s="39" t="s">
        <v>148</v>
      </c>
      <c r="AJ47" s="41" t="s">
        <v>149</v>
      </c>
      <c r="AL47" s="42" t="s">
        <v>45</v>
      </c>
      <c r="AP47" s="43" t="str">
        <f t="shared" si="1"/>
        <v>REALIZADO</v>
      </c>
      <c r="AV47" s="44" t="s">
        <v>46</v>
      </c>
      <c r="AW47" s="45"/>
      <c r="AX47" s="35"/>
    </row>
    <row r="48" hidden="1">
      <c r="A48" s="24"/>
      <c r="B48" s="36" t="s">
        <v>34</v>
      </c>
      <c r="C48" s="37">
        <v>45545.0</v>
      </c>
      <c r="F48" s="38">
        <v>0.5</v>
      </c>
      <c r="I48" s="39" t="s">
        <v>150</v>
      </c>
      <c r="S48" s="39" t="s">
        <v>151</v>
      </c>
      <c r="AE48" s="40">
        <v>0.3159722222222222</v>
      </c>
      <c r="AG48" s="39" t="s">
        <v>152</v>
      </c>
      <c r="AJ48" s="41" t="s">
        <v>153</v>
      </c>
      <c r="AL48" s="42" t="s">
        <v>68</v>
      </c>
      <c r="AP48" s="43" t="str">
        <f t="shared" si="1"/>
        <v>REALIZADO</v>
      </c>
      <c r="AV48" s="44" t="s">
        <v>46</v>
      </c>
      <c r="AW48" s="45"/>
      <c r="AX48" s="35"/>
    </row>
    <row r="49" hidden="1">
      <c r="A49" s="24"/>
      <c r="B49" s="36" t="s">
        <v>41</v>
      </c>
      <c r="C49" s="37">
        <v>45546.0</v>
      </c>
      <c r="F49" s="38">
        <v>0.625</v>
      </c>
      <c r="I49" s="39" t="s">
        <v>154</v>
      </c>
      <c r="S49" s="39" t="s">
        <v>43</v>
      </c>
      <c r="AE49" s="40">
        <v>0.006944444444444444</v>
      </c>
      <c r="AG49" s="39" t="s">
        <v>44</v>
      </c>
      <c r="AJ49" s="41" t="s">
        <v>44</v>
      </c>
      <c r="AL49" s="42" t="s">
        <v>45</v>
      </c>
      <c r="AP49" s="43" t="str">
        <f t="shared" si="1"/>
        <v>ABORTIVA</v>
      </c>
      <c r="AV49" s="44" t="s">
        <v>98</v>
      </c>
      <c r="AW49" s="45"/>
      <c r="AX49" s="35"/>
    </row>
    <row r="50" hidden="1">
      <c r="A50" s="24"/>
      <c r="B50" s="36" t="s">
        <v>41</v>
      </c>
      <c r="C50" s="37">
        <v>45546.0</v>
      </c>
      <c r="F50" s="38">
        <v>0.7083333333333334</v>
      </c>
      <c r="I50" s="39" t="s">
        <v>155</v>
      </c>
      <c r="S50" s="39" t="s">
        <v>55</v>
      </c>
      <c r="AE50" s="40">
        <v>0.020833333333333332</v>
      </c>
      <c r="AG50" s="39" t="s">
        <v>44</v>
      </c>
      <c r="AJ50" s="41" t="s">
        <v>44</v>
      </c>
      <c r="AL50" s="42" t="s">
        <v>45</v>
      </c>
      <c r="AP50" s="43" t="str">
        <f t="shared" si="1"/>
        <v>ABORTIVA</v>
      </c>
      <c r="AV50" s="44" t="s">
        <v>98</v>
      </c>
      <c r="AW50" s="45"/>
      <c r="AX50" s="35"/>
    </row>
    <row r="51" hidden="1">
      <c r="A51" s="24"/>
      <c r="B51" s="36" t="s">
        <v>41</v>
      </c>
      <c r="C51" s="37">
        <v>45546.0</v>
      </c>
      <c r="F51" s="38">
        <v>0.8541666666666666</v>
      </c>
      <c r="I51" s="39" t="s">
        <v>156</v>
      </c>
      <c r="S51" s="39" t="s">
        <v>55</v>
      </c>
      <c r="AE51" s="40">
        <v>0.052083333333333336</v>
      </c>
      <c r="AG51" s="39" t="s">
        <v>44</v>
      </c>
      <c r="AJ51" s="41" t="s">
        <v>44</v>
      </c>
      <c r="AL51" s="42" t="s">
        <v>53</v>
      </c>
      <c r="AP51" s="43" t="str">
        <f t="shared" si="1"/>
        <v>REALIZADO</v>
      </c>
      <c r="AV51" s="44" t="s">
        <v>46</v>
      </c>
      <c r="AW51" s="45"/>
      <c r="AX51" s="35"/>
    </row>
    <row r="52" hidden="1">
      <c r="A52" s="24"/>
      <c r="B52" s="36" t="s">
        <v>34</v>
      </c>
      <c r="C52" s="37">
        <v>45547.0</v>
      </c>
      <c r="F52" s="38">
        <v>0.5</v>
      </c>
      <c r="I52" s="39" t="s">
        <v>157</v>
      </c>
      <c r="S52" s="39" t="s">
        <v>158</v>
      </c>
      <c r="AE52" s="40">
        <v>0.5694444444444444</v>
      </c>
      <c r="AG52" s="39" t="s">
        <v>159</v>
      </c>
      <c r="AJ52" s="41" t="s">
        <v>160</v>
      </c>
      <c r="AL52" s="42" t="s">
        <v>68</v>
      </c>
      <c r="AP52" s="43" t="str">
        <f t="shared" si="1"/>
        <v>REALIZADO</v>
      </c>
      <c r="AV52" s="44" t="s">
        <v>46</v>
      </c>
      <c r="AW52" s="45"/>
      <c r="AX52" s="35"/>
    </row>
    <row r="53" hidden="1">
      <c r="A53" s="24"/>
      <c r="B53" s="36" t="s">
        <v>34</v>
      </c>
      <c r="C53" s="37">
        <v>45547.0</v>
      </c>
      <c r="F53" s="38">
        <v>0.5</v>
      </c>
      <c r="I53" s="39" t="s">
        <v>161</v>
      </c>
      <c r="S53" s="39" t="s">
        <v>162</v>
      </c>
      <c r="AE53" s="40">
        <v>0.5138888888888888</v>
      </c>
      <c r="AG53" s="39" t="s">
        <v>163</v>
      </c>
      <c r="AJ53" s="41" t="s">
        <v>164</v>
      </c>
      <c r="AL53" s="42" t="s">
        <v>45</v>
      </c>
      <c r="AP53" s="43" t="str">
        <f t="shared" si="1"/>
        <v>REALIZADO</v>
      </c>
      <c r="AV53" s="44" t="s">
        <v>46</v>
      </c>
      <c r="AW53" s="45"/>
      <c r="AX53" s="35"/>
    </row>
    <row r="54" hidden="1">
      <c r="A54" s="24"/>
      <c r="B54" s="36" t="s">
        <v>41</v>
      </c>
      <c r="C54" s="37">
        <v>45547.0</v>
      </c>
      <c r="F54" s="38">
        <v>0.5</v>
      </c>
      <c r="I54" s="39" t="s">
        <v>165</v>
      </c>
      <c r="S54" s="39" t="s">
        <v>92</v>
      </c>
      <c r="AE54" s="40">
        <v>0.003472222222222222</v>
      </c>
      <c r="AG54" s="39" t="s">
        <v>44</v>
      </c>
      <c r="AJ54" s="41" t="s">
        <v>44</v>
      </c>
      <c r="AL54" s="42" t="s">
        <v>53</v>
      </c>
      <c r="AP54" s="43" t="str">
        <f t="shared" si="1"/>
        <v>REALIZADO</v>
      </c>
      <c r="AV54" s="44" t="s">
        <v>46</v>
      </c>
      <c r="AW54" s="45"/>
      <c r="AX54" s="35"/>
    </row>
    <row r="55" hidden="1">
      <c r="A55" s="24"/>
      <c r="B55" s="36" t="s">
        <v>41</v>
      </c>
      <c r="C55" s="37">
        <v>45547.0</v>
      </c>
      <c r="F55" s="38">
        <v>0.5069444444444444</v>
      </c>
      <c r="I55" s="39" t="s">
        <v>166</v>
      </c>
      <c r="S55" s="39" t="s">
        <v>92</v>
      </c>
      <c r="AE55" s="40">
        <v>0.003472222222222222</v>
      </c>
      <c r="AG55" s="39" t="s">
        <v>44</v>
      </c>
      <c r="AJ55" s="41" t="s">
        <v>44</v>
      </c>
      <c r="AL55" s="42" t="s">
        <v>53</v>
      </c>
      <c r="AP55" s="43" t="str">
        <f t="shared" si="1"/>
        <v>REALIZADO</v>
      </c>
      <c r="AV55" s="44" t="s">
        <v>46</v>
      </c>
      <c r="AW55" s="45"/>
      <c r="AX55" s="35"/>
    </row>
    <row r="56" hidden="1">
      <c r="A56" s="24"/>
      <c r="B56" s="36" t="s">
        <v>41</v>
      </c>
      <c r="C56" s="37">
        <v>45547.0</v>
      </c>
      <c r="F56" s="38">
        <v>0.5138888888888888</v>
      </c>
      <c r="I56" s="39" t="s">
        <v>167</v>
      </c>
      <c r="S56" s="39" t="s">
        <v>92</v>
      </c>
      <c r="AE56" s="40">
        <v>0.003472222222222222</v>
      </c>
      <c r="AG56" s="39" t="s">
        <v>44</v>
      </c>
      <c r="AJ56" s="41" t="s">
        <v>44</v>
      </c>
      <c r="AL56" s="42" t="s">
        <v>53</v>
      </c>
      <c r="AP56" s="43" t="str">
        <f t="shared" si="1"/>
        <v>REALIZADO</v>
      </c>
      <c r="AV56" s="44" t="s">
        <v>46</v>
      </c>
      <c r="AW56" s="45"/>
      <c r="AX56" s="35"/>
    </row>
    <row r="57" hidden="1">
      <c r="A57" s="24"/>
      <c r="B57" s="36" t="s">
        <v>41</v>
      </c>
      <c r="C57" s="37">
        <v>45547.0</v>
      </c>
      <c r="F57" s="38">
        <v>0.7708333333333334</v>
      </c>
      <c r="I57" s="39" t="s">
        <v>168</v>
      </c>
      <c r="S57" s="39" t="s">
        <v>55</v>
      </c>
      <c r="AE57" s="40">
        <v>0.017361111111111112</v>
      </c>
      <c r="AG57" s="39" t="s">
        <v>44</v>
      </c>
      <c r="AJ57" s="41" t="s">
        <v>44</v>
      </c>
      <c r="AL57" s="42" t="s">
        <v>53</v>
      </c>
      <c r="AP57" s="43" t="str">
        <f t="shared" si="1"/>
        <v>REALIZADO</v>
      </c>
      <c r="AV57" s="44" t="s">
        <v>46</v>
      </c>
      <c r="AW57" s="45"/>
      <c r="AX57" s="35"/>
    </row>
    <row r="58" hidden="1">
      <c r="A58" s="24"/>
      <c r="B58" s="36" t="s">
        <v>41</v>
      </c>
      <c r="C58" s="37">
        <v>45547.0</v>
      </c>
      <c r="F58" s="38">
        <v>0.8333333333333334</v>
      </c>
      <c r="I58" s="39" t="s">
        <v>169</v>
      </c>
      <c r="S58" s="39" t="s">
        <v>55</v>
      </c>
      <c r="AE58" s="40">
        <v>0.034722222222222224</v>
      </c>
      <c r="AG58" s="39" t="s">
        <v>44</v>
      </c>
      <c r="AJ58" s="41" t="s">
        <v>44</v>
      </c>
      <c r="AL58" s="42" t="s">
        <v>53</v>
      </c>
      <c r="AP58" s="43" t="str">
        <f t="shared" si="1"/>
        <v>REALIZADO</v>
      </c>
      <c r="AV58" s="44" t="s">
        <v>46</v>
      </c>
      <c r="AW58" s="45"/>
      <c r="AX58" s="35"/>
    </row>
    <row r="59" hidden="1">
      <c r="A59" s="24"/>
      <c r="B59" s="36" t="s">
        <v>34</v>
      </c>
      <c r="C59" s="37">
        <v>45547.0</v>
      </c>
      <c r="F59" s="38">
        <v>0.8958333333333334</v>
      </c>
      <c r="I59" s="39" t="s">
        <v>170</v>
      </c>
      <c r="S59" s="39" t="s">
        <v>171</v>
      </c>
      <c r="AE59" s="40">
        <v>0.2638888888888889</v>
      </c>
      <c r="AG59" s="39" t="s">
        <v>172</v>
      </c>
      <c r="AJ59" s="41" t="s">
        <v>173</v>
      </c>
      <c r="AL59" s="42" t="s">
        <v>53</v>
      </c>
      <c r="AP59" s="43" t="str">
        <f t="shared" si="1"/>
        <v>REALIZADO</v>
      </c>
      <c r="AV59" s="44" t="s">
        <v>46</v>
      </c>
      <c r="AW59" s="45"/>
      <c r="AX59" s="35"/>
    </row>
    <row r="60" hidden="1">
      <c r="A60" s="24"/>
      <c r="B60" s="36" t="s">
        <v>34</v>
      </c>
      <c r="C60" s="37">
        <v>45549.0</v>
      </c>
      <c r="F60" s="38">
        <v>0.5</v>
      </c>
      <c r="I60" s="39" t="s">
        <v>174</v>
      </c>
      <c r="S60" s="39" t="s">
        <v>175</v>
      </c>
      <c r="AE60" s="40">
        <v>0.2361111111111111</v>
      </c>
      <c r="AG60" s="39" t="s">
        <v>176</v>
      </c>
      <c r="AJ60" s="41" t="s">
        <v>177</v>
      </c>
      <c r="AL60" s="42" t="s">
        <v>53</v>
      </c>
      <c r="AP60" s="43" t="str">
        <f t="shared" si="1"/>
        <v>REALIZADO</v>
      </c>
      <c r="AV60" s="44" t="s">
        <v>46</v>
      </c>
      <c r="AW60" s="45"/>
      <c r="AX60" s="35"/>
    </row>
    <row r="61" hidden="1">
      <c r="A61" s="24"/>
      <c r="B61" s="36" t="s">
        <v>34</v>
      </c>
      <c r="C61" s="37">
        <v>45551.0</v>
      </c>
      <c r="F61" s="38">
        <v>0.5</v>
      </c>
      <c r="I61" s="39" t="s">
        <v>178</v>
      </c>
      <c r="S61" s="39" t="s">
        <v>89</v>
      </c>
      <c r="AE61" s="40"/>
      <c r="AG61" s="39" t="s">
        <v>179</v>
      </c>
      <c r="AJ61" s="41" t="s">
        <v>180</v>
      </c>
      <c r="AL61" s="42" t="s">
        <v>68</v>
      </c>
      <c r="AP61" s="43" t="str">
        <f t="shared" si="1"/>
        <v>REALIZADO</v>
      </c>
      <c r="AV61" s="44" t="s">
        <v>46</v>
      </c>
      <c r="AW61" s="45"/>
      <c r="AX61" s="35"/>
    </row>
    <row r="62" hidden="1">
      <c r="A62" s="24"/>
      <c r="B62" s="36" t="s">
        <v>41</v>
      </c>
      <c r="C62" s="37">
        <v>45552.0</v>
      </c>
      <c r="F62" s="38">
        <v>0.5</v>
      </c>
      <c r="I62" s="39" t="s">
        <v>181</v>
      </c>
      <c r="S62" s="39" t="s">
        <v>182</v>
      </c>
      <c r="AE62" s="40">
        <v>0.041666666666666664</v>
      </c>
      <c r="AG62" s="46" t="s">
        <v>44</v>
      </c>
      <c r="AJ62" s="47" t="s">
        <v>44</v>
      </c>
      <c r="AL62" s="42" t="s">
        <v>68</v>
      </c>
      <c r="AP62" s="43" t="str">
        <f t="shared" si="1"/>
        <v>REALIZADO</v>
      </c>
      <c r="AV62" s="44" t="s">
        <v>46</v>
      </c>
      <c r="AW62" s="45"/>
      <c r="AX62" s="35"/>
    </row>
    <row r="63" hidden="1">
      <c r="A63" s="24"/>
      <c r="B63" s="36" t="s">
        <v>41</v>
      </c>
      <c r="C63" s="37">
        <v>45552.0</v>
      </c>
      <c r="F63" s="38">
        <v>0.5</v>
      </c>
      <c r="I63" s="39" t="s">
        <v>183</v>
      </c>
      <c r="S63" s="39" t="s">
        <v>184</v>
      </c>
      <c r="AE63" s="40">
        <v>0.041666666666666664</v>
      </c>
      <c r="AG63" s="46" t="s">
        <v>44</v>
      </c>
      <c r="AJ63" s="47" t="s">
        <v>44</v>
      </c>
      <c r="AL63" s="42" t="s">
        <v>68</v>
      </c>
      <c r="AP63" s="43" t="str">
        <f t="shared" si="1"/>
        <v>REALIZADO</v>
      </c>
      <c r="AV63" s="44" t="s">
        <v>46</v>
      </c>
      <c r="AW63" s="45"/>
      <c r="AX63" s="35"/>
    </row>
    <row r="64" hidden="1">
      <c r="A64" s="24"/>
      <c r="B64" s="36" t="s">
        <v>41</v>
      </c>
      <c r="C64" s="37">
        <v>45552.0</v>
      </c>
      <c r="F64" s="38">
        <v>0.7708333333333334</v>
      </c>
      <c r="I64" s="39" t="s">
        <v>183</v>
      </c>
      <c r="S64" s="39" t="s">
        <v>185</v>
      </c>
      <c r="AE64" s="40">
        <v>0.003472222222222222</v>
      </c>
      <c r="AG64" s="46" t="s">
        <v>44</v>
      </c>
      <c r="AJ64" s="47" t="s">
        <v>44</v>
      </c>
      <c r="AL64" s="42" t="s">
        <v>68</v>
      </c>
      <c r="AP64" s="43" t="str">
        <f t="shared" si="1"/>
        <v>REALIZADO</v>
      </c>
      <c r="AV64" s="44" t="s">
        <v>46</v>
      </c>
      <c r="AW64" s="45"/>
      <c r="AX64" s="35"/>
    </row>
    <row r="65" hidden="1">
      <c r="A65" s="24"/>
      <c r="B65" s="36" t="s">
        <v>41</v>
      </c>
      <c r="C65" s="37">
        <v>45553.0</v>
      </c>
      <c r="F65" s="38">
        <v>0.3645833333333333</v>
      </c>
      <c r="I65" s="39" t="s">
        <v>186</v>
      </c>
      <c r="S65" s="39" t="s">
        <v>182</v>
      </c>
      <c r="AE65" s="40">
        <v>0.052083333333333336</v>
      </c>
      <c r="AG65" s="46" t="s">
        <v>44</v>
      </c>
      <c r="AJ65" s="47" t="s">
        <v>44</v>
      </c>
      <c r="AL65" s="42" t="s">
        <v>68</v>
      </c>
      <c r="AP65" s="43" t="str">
        <f t="shared" si="1"/>
        <v>REALIZADO</v>
      </c>
      <c r="AV65" s="44" t="s">
        <v>46</v>
      </c>
      <c r="AW65" s="45"/>
      <c r="AX65" s="35"/>
    </row>
    <row r="66" hidden="1">
      <c r="A66" s="24"/>
      <c r="B66" s="36" t="s">
        <v>34</v>
      </c>
      <c r="C66" s="37">
        <v>45553.0</v>
      </c>
      <c r="F66" s="38">
        <v>0.4583333333333333</v>
      </c>
      <c r="I66" s="39" t="s">
        <v>187</v>
      </c>
      <c r="S66" s="39" t="s">
        <v>188</v>
      </c>
      <c r="AE66" s="40">
        <v>0.3958333333333333</v>
      </c>
      <c r="AG66" s="39" t="s">
        <v>189</v>
      </c>
      <c r="AJ66" s="41" t="s">
        <v>190</v>
      </c>
      <c r="AL66" s="42" t="s">
        <v>68</v>
      </c>
      <c r="AP66" s="43" t="str">
        <f t="shared" si="1"/>
        <v>REALIZADO</v>
      </c>
      <c r="AV66" s="44" t="s">
        <v>46</v>
      </c>
      <c r="AW66" s="45"/>
      <c r="AX66" s="35"/>
    </row>
    <row r="67" hidden="1">
      <c r="A67" s="24"/>
      <c r="B67" s="36" t="s">
        <v>41</v>
      </c>
      <c r="C67" s="37">
        <v>45553.0</v>
      </c>
      <c r="F67" s="38">
        <v>0.4166666666666667</v>
      </c>
      <c r="I67" s="39" t="s">
        <v>191</v>
      </c>
      <c r="S67" s="39" t="s">
        <v>185</v>
      </c>
      <c r="AE67" s="40">
        <v>0.003472222222222222</v>
      </c>
      <c r="AG67" s="39" t="s">
        <v>176</v>
      </c>
      <c r="AJ67" s="41" t="s">
        <v>44</v>
      </c>
      <c r="AL67" s="42" t="s">
        <v>68</v>
      </c>
      <c r="AP67" s="43" t="str">
        <f t="shared" si="1"/>
        <v>REALIZADO</v>
      </c>
      <c r="AV67" s="44" t="s">
        <v>46</v>
      </c>
      <c r="AW67" s="45"/>
      <c r="AX67" s="35"/>
    </row>
    <row r="68" hidden="1">
      <c r="A68" s="24"/>
      <c r="B68" s="36" t="s">
        <v>41</v>
      </c>
      <c r="C68" s="37">
        <v>45553.0</v>
      </c>
      <c r="F68" s="38">
        <v>0.5</v>
      </c>
      <c r="I68" s="39" t="s">
        <v>192</v>
      </c>
      <c r="S68" s="39" t="s">
        <v>67</v>
      </c>
      <c r="AE68" s="40">
        <v>0.03125</v>
      </c>
      <c r="AG68" s="39" t="s">
        <v>176</v>
      </c>
      <c r="AJ68" s="41" t="s">
        <v>44</v>
      </c>
      <c r="AL68" s="42" t="s">
        <v>45</v>
      </c>
      <c r="AP68" s="43" t="str">
        <f t="shared" si="1"/>
        <v>REALIZADO</v>
      </c>
      <c r="AV68" s="44" t="s">
        <v>46</v>
      </c>
      <c r="AW68" s="45"/>
      <c r="AX68" s="35"/>
    </row>
    <row r="69" hidden="1">
      <c r="A69" s="24"/>
      <c r="B69" s="36" t="s">
        <v>41</v>
      </c>
      <c r="C69" s="37">
        <v>45553.0</v>
      </c>
      <c r="F69" s="38">
        <v>0.53125</v>
      </c>
      <c r="I69" s="39" t="s">
        <v>193</v>
      </c>
      <c r="S69" s="39" t="s">
        <v>194</v>
      </c>
      <c r="AE69" s="40">
        <v>0.006944444444444444</v>
      </c>
      <c r="AG69" s="39" t="s">
        <v>176</v>
      </c>
      <c r="AJ69" s="41" t="s">
        <v>44</v>
      </c>
      <c r="AL69" s="42" t="s">
        <v>45</v>
      </c>
      <c r="AP69" s="43" t="str">
        <f t="shared" si="1"/>
        <v>REALIZADO</v>
      </c>
      <c r="AV69" s="44" t="s">
        <v>46</v>
      </c>
      <c r="AW69" s="45"/>
      <c r="AX69" s="35"/>
    </row>
    <row r="70" hidden="1">
      <c r="A70" s="24"/>
      <c r="B70" s="36" t="s">
        <v>34</v>
      </c>
      <c r="C70" s="37">
        <v>45556.0</v>
      </c>
      <c r="F70" s="38">
        <v>0.4791666666666667</v>
      </c>
      <c r="I70" s="39" t="s">
        <v>195</v>
      </c>
      <c r="S70" s="39" t="s">
        <v>196</v>
      </c>
      <c r="AE70" s="40">
        <v>0.3368055555555556</v>
      </c>
      <c r="AG70" s="39" t="s">
        <v>197</v>
      </c>
      <c r="AJ70" s="41" t="s">
        <v>198</v>
      </c>
      <c r="AL70" s="42" t="s">
        <v>68</v>
      </c>
      <c r="AP70" s="43" t="str">
        <f t="shared" si="1"/>
        <v>REALIZADO</v>
      </c>
      <c r="AV70" s="44" t="s">
        <v>46</v>
      </c>
      <c r="AW70" s="45"/>
      <c r="AX70" s="35"/>
    </row>
    <row r="71" hidden="1">
      <c r="A71" s="24"/>
      <c r="B71" s="36" t="s">
        <v>41</v>
      </c>
      <c r="C71" s="37">
        <v>45555.0</v>
      </c>
      <c r="F71" s="38">
        <v>0.875</v>
      </c>
      <c r="I71" s="39" t="s">
        <v>199</v>
      </c>
      <c r="S71" s="39" t="s">
        <v>55</v>
      </c>
      <c r="AE71" s="40">
        <v>0.041666666666666664</v>
      </c>
      <c r="AG71" s="39" t="s">
        <v>176</v>
      </c>
      <c r="AJ71" s="41" t="s">
        <v>44</v>
      </c>
      <c r="AL71" s="42" t="s">
        <v>68</v>
      </c>
      <c r="AP71" s="43" t="str">
        <f t="shared" si="1"/>
        <v>REALIZADO</v>
      </c>
      <c r="AV71" s="44" t="s">
        <v>46</v>
      </c>
      <c r="AW71" s="45"/>
      <c r="AX71" s="35"/>
    </row>
    <row r="72" hidden="1">
      <c r="A72" s="24"/>
      <c r="B72" s="36" t="s">
        <v>34</v>
      </c>
      <c r="C72" s="37">
        <v>45558.0</v>
      </c>
      <c r="F72" s="38">
        <v>0.5</v>
      </c>
      <c r="I72" s="39" t="s">
        <v>200</v>
      </c>
      <c r="S72" s="39" t="s">
        <v>201</v>
      </c>
      <c r="AE72" s="40">
        <v>0.3993055555555556</v>
      </c>
      <c r="AG72" s="39" t="s">
        <v>202</v>
      </c>
      <c r="AJ72" s="41" t="s">
        <v>203</v>
      </c>
      <c r="AL72" s="42" t="s">
        <v>45</v>
      </c>
      <c r="AP72" s="43" t="str">
        <f t="shared" si="1"/>
        <v>REALIZADO</v>
      </c>
      <c r="AV72" s="44" t="s">
        <v>46</v>
      </c>
      <c r="AW72" s="45"/>
      <c r="AX72" s="35"/>
    </row>
    <row r="73" hidden="1">
      <c r="A73" s="24"/>
      <c r="B73" s="36" t="s">
        <v>41</v>
      </c>
      <c r="C73" s="37">
        <v>45558.0</v>
      </c>
      <c r="F73" s="38">
        <v>0.5</v>
      </c>
      <c r="I73" s="39" t="s">
        <v>204</v>
      </c>
      <c r="S73" s="39" t="s">
        <v>205</v>
      </c>
      <c r="AE73" s="40">
        <v>0.0625</v>
      </c>
      <c r="AG73" s="39" t="s">
        <v>206</v>
      </c>
      <c r="AJ73" s="41" t="s">
        <v>44</v>
      </c>
      <c r="AL73" s="42" t="s">
        <v>68</v>
      </c>
      <c r="AP73" s="43" t="str">
        <f t="shared" si="1"/>
        <v>REALIZADO</v>
      </c>
      <c r="AV73" s="44" t="s">
        <v>46</v>
      </c>
      <c r="AW73" s="45"/>
      <c r="AX73" s="35"/>
    </row>
    <row r="74" hidden="1">
      <c r="A74" s="24"/>
      <c r="B74" s="36" t="s">
        <v>41</v>
      </c>
      <c r="C74" s="37">
        <v>45557.0</v>
      </c>
      <c r="F74" s="38">
        <v>0.5416666666666666</v>
      </c>
      <c r="I74" s="39" t="s">
        <v>204</v>
      </c>
      <c r="S74" s="39" t="s">
        <v>205</v>
      </c>
      <c r="AE74" s="40">
        <v>0.0625</v>
      </c>
      <c r="AG74" s="39" t="s">
        <v>206</v>
      </c>
      <c r="AJ74" s="41" t="s">
        <v>44</v>
      </c>
      <c r="AL74" s="42" t="s">
        <v>68</v>
      </c>
      <c r="AP74" s="43" t="str">
        <f t="shared" si="1"/>
        <v>REALIZADO</v>
      </c>
      <c r="AV74" s="44" t="s">
        <v>46</v>
      </c>
      <c r="AW74" s="45"/>
      <c r="AX74" s="35"/>
    </row>
    <row r="75" hidden="1">
      <c r="A75" s="24"/>
      <c r="B75" s="36" t="s">
        <v>41</v>
      </c>
      <c r="C75" s="37">
        <v>45558.0</v>
      </c>
      <c r="F75" s="38">
        <v>0.8958333333333334</v>
      </c>
      <c r="I75" s="39" t="s">
        <v>207</v>
      </c>
      <c r="S75" s="39" t="s">
        <v>208</v>
      </c>
      <c r="AE75" s="40">
        <v>0.041666666666666664</v>
      </c>
      <c r="AG75" s="39" t="s">
        <v>206</v>
      </c>
      <c r="AJ75" s="41" t="s">
        <v>44</v>
      </c>
      <c r="AL75" s="42" t="s">
        <v>68</v>
      </c>
      <c r="AP75" s="43" t="str">
        <f t="shared" si="1"/>
        <v>ABORTIVA</v>
      </c>
      <c r="AV75" s="44" t="s">
        <v>98</v>
      </c>
      <c r="AW75" s="45"/>
      <c r="AX75" s="35"/>
    </row>
    <row r="76" hidden="1">
      <c r="A76" s="24"/>
      <c r="B76" s="36" t="s">
        <v>41</v>
      </c>
      <c r="C76" s="37">
        <v>45558.0</v>
      </c>
      <c r="F76" s="38">
        <v>0.5833333333333334</v>
      </c>
      <c r="I76" s="39" t="s">
        <v>209</v>
      </c>
      <c r="S76" s="39" t="s">
        <v>210</v>
      </c>
      <c r="AE76" s="40">
        <v>0.034722222222222224</v>
      </c>
      <c r="AG76" s="39" t="s">
        <v>76</v>
      </c>
      <c r="AJ76" s="41" t="s">
        <v>44</v>
      </c>
      <c r="AL76" s="42" t="s">
        <v>68</v>
      </c>
      <c r="AP76" s="43" t="str">
        <f t="shared" si="1"/>
        <v>REALIZADO</v>
      </c>
      <c r="AV76" s="44" t="s">
        <v>46</v>
      </c>
      <c r="AW76" s="45"/>
      <c r="AX76" s="35"/>
    </row>
    <row r="77" hidden="1">
      <c r="A77" s="24"/>
      <c r="B77" s="36" t="s">
        <v>34</v>
      </c>
      <c r="C77" s="37">
        <v>45559.0</v>
      </c>
      <c r="F77" s="38">
        <v>0.9583333333333334</v>
      </c>
      <c r="I77" s="39" t="s">
        <v>211</v>
      </c>
      <c r="S77" s="39" t="s">
        <v>212</v>
      </c>
      <c r="AE77" s="40">
        <v>0.8680555555555556</v>
      </c>
      <c r="AG77" s="39" t="s">
        <v>213</v>
      </c>
      <c r="AJ77" s="41" t="s">
        <v>214</v>
      </c>
      <c r="AL77" s="42" t="s">
        <v>45</v>
      </c>
      <c r="AP77" s="43" t="str">
        <f t="shared" si="1"/>
        <v>REALIZADO</v>
      </c>
      <c r="AV77" s="44" t="s">
        <v>46</v>
      </c>
      <c r="AW77" s="45"/>
      <c r="AX77" s="35"/>
    </row>
    <row r="78" hidden="1">
      <c r="A78" s="24"/>
      <c r="B78" s="36" t="s">
        <v>41</v>
      </c>
      <c r="C78" s="37">
        <v>45561.0</v>
      </c>
      <c r="F78" s="38">
        <v>0.7083333333333334</v>
      </c>
      <c r="I78" s="39" t="s">
        <v>215</v>
      </c>
      <c r="S78" s="39" t="s">
        <v>216</v>
      </c>
      <c r="AE78" s="40">
        <v>0.041666666666666664</v>
      </c>
      <c r="AG78" s="39" t="s">
        <v>176</v>
      </c>
      <c r="AJ78" s="41" t="s">
        <v>44</v>
      </c>
      <c r="AL78" s="42" t="s">
        <v>45</v>
      </c>
      <c r="AP78" s="43" t="str">
        <f t="shared" si="1"/>
        <v>ABORTIVA</v>
      </c>
      <c r="AV78" s="44" t="s">
        <v>57</v>
      </c>
      <c r="AW78" s="45"/>
      <c r="AX78" s="35"/>
    </row>
    <row r="79" hidden="1">
      <c r="A79" s="24"/>
      <c r="B79" s="36" t="s">
        <v>41</v>
      </c>
      <c r="C79" s="37">
        <v>45561.0</v>
      </c>
      <c r="F79" s="38">
        <v>0.4583333333333333</v>
      </c>
      <c r="I79" s="39" t="s">
        <v>217</v>
      </c>
      <c r="S79" s="39" t="s">
        <v>218</v>
      </c>
      <c r="AE79" s="40">
        <v>0.041666666666666664</v>
      </c>
      <c r="AG79" s="39" t="s">
        <v>176</v>
      </c>
      <c r="AJ79" s="41" t="s">
        <v>44</v>
      </c>
      <c r="AL79" s="42" t="s">
        <v>45</v>
      </c>
      <c r="AP79" s="43" t="str">
        <f t="shared" si="1"/>
        <v>ABORTIVA</v>
      </c>
      <c r="AV79" s="44" t="s">
        <v>57</v>
      </c>
      <c r="AW79" s="45"/>
      <c r="AX79" s="35"/>
    </row>
    <row r="80" hidden="1">
      <c r="A80" s="24"/>
      <c r="B80" s="36" t="s">
        <v>34</v>
      </c>
      <c r="C80" s="37">
        <v>45562.0</v>
      </c>
      <c r="F80" s="38">
        <v>0.6458333333333334</v>
      </c>
      <c r="I80" s="39" t="s">
        <v>219</v>
      </c>
      <c r="S80" s="39" t="s">
        <v>220</v>
      </c>
      <c r="AE80" s="40">
        <v>0.5555555555555556</v>
      </c>
      <c r="AG80" s="39" t="s">
        <v>221</v>
      </c>
      <c r="AJ80" s="41" t="s">
        <v>222</v>
      </c>
      <c r="AL80" s="42" t="s">
        <v>45</v>
      </c>
      <c r="AP80" s="43" t="str">
        <f t="shared" si="1"/>
        <v>REALIZADO</v>
      </c>
      <c r="AV80" s="44" t="s">
        <v>46</v>
      </c>
      <c r="AW80" s="45"/>
      <c r="AX80" s="35"/>
    </row>
    <row r="81" hidden="1">
      <c r="A81" s="24"/>
      <c r="B81" s="36" t="s">
        <v>41</v>
      </c>
      <c r="C81" s="37">
        <v>45562.0</v>
      </c>
      <c r="F81" s="38">
        <v>0.6111111111111112</v>
      </c>
      <c r="I81" s="39" t="s">
        <v>223</v>
      </c>
      <c r="S81" s="39" t="s">
        <v>208</v>
      </c>
      <c r="AE81" s="40">
        <v>0.003472222222222222</v>
      </c>
      <c r="AG81" s="39" t="s">
        <v>176</v>
      </c>
      <c r="AJ81" s="41" t="s">
        <v>44</v>
      </c>
      <c r="AL81" s="42" t="s">
        <v>45</v>
      </c>
      <c r="AP81" s="43" t="str">
        <f t="shared" si="1"/>
        <v>ABORTIVA</v>
      </c>
      <c r="AV81" s="44" t="s">
        <v>57</v>
      </c>
      <c r="AW81" s="45"/>
      <c r="AX81" s="35"/>
    </row>
    <row r="82" hidden="1">
      <c r="A82" s="24"/>
      <c r="B82" s="36" t="s">
        <v>41</v>
      </c>
      <c r="C82" s="37">
        <v>45565.0</v>
      </c>
      <c r="F82" s="38">
        <v>0.4583333333333333</v>
      </c>
      <c r="I82" s="39" t="s">
        <v>224</v>
      </c>
      <c r="S82" s="39" t="s">
        <v>225</v>
      </c>
      <c r="AE82" s="40">
        <v>0.041666666666666664</v>
      </c>
      <c r="AG82" s="39" t="s">
        <v>176</v>
      </c>
      <c r="AJ82" s="41" t="s">
        <v>44</v>
      </c>
      <c r="AL82" s="42" t="s">
        <v>68</v>
      </c>
      <c r="AP82" s="43" t="str">
        <f t="shared" si="1"/>
        <v>REALIZADO</v>
      </c>
      <c r="AV82" s="44" t="s">
        <v>46</v>
      </c>
      <c r="AW82" s="45"/>
      <c r="AX82" s="35"/>
    </row>
    <row r="83" hidden="1">
      <c r="A83" s="24"/>
      <c r="B83" s="36" t="s">
        <v>41</v>
      </c>
      <c r="C83" s="37">
        <v>45565.0</v>
      </c>
      <c r="F83" s="38">
        <v>0.5416666666666666</v>
      </c>
      <c r="I83" s="39" t="s">
        <v>226</v>
      </c>
      <c r="S83" s="39" t="s">
        <v>225</v>
      </c>
      <c r="AE83" s="40">
        <v>0.041666666666666664</v>
      </c>
      <c r="AG83" s="39" t="s">
        <v>176</v>
      </c>
      <c r="AJ83" s="41" t="s">
        <v>44</v>
      </c>
      <c r="AL83" s="42" t="s">
        <v>68</v>
      </c>
      <c r="AP83" s="43" t="str">
        <f t="shared" si="1"/>
        <v>REALIZADO</v>
      </c>
      <c r="AV83" s="44" t="s">
        <v>46</v>
      </c>
      <c r="AW83" s="45"/>
      <c r="AX83" s="35"/>
    </row>
    <row r="84" hidden="1">
      <c r="A84" s="24"/>
      <c r="B84" s="36" t="s">
        <v>41</v>
      </c>
      <c r="C84" s="37">
        <v>45565.0</v>
      </c>
      <c r="F84" s="38">
        <v>0.6666666666666666</v>
      </c>
      <c r="I84" s="39" t="s">
        <v>227</v>
      </c>
      <c r="S84" s="39" t="s">
        <v>225</v>
      </c>
      <c r="AE84" s="40">
        <v>0.041666666666666664</v>
      </c>
      <c r="AG84" s="39" t="s">
        <v>176</v>
      </c>
      <c r="AJ84" s="41" t="s">
        <v>44</v>
      </c>
      <c r="AL84" s="42" t="s">
        <v>68</v>
      </c>
      <c r="AP84" s="43" t="str">
        <f t="shared" si="1"/>
        <v>REALIZADO</v>
      </c>
      <c r="AV84" s="44" t="s">
        <v>46</v>
      </c>
      <c r="AW84" s="45"/>
      <c r="AX84" s="35"/>
    </row>
    <row r="85" hidden="1">
      <c r="A85" s="24"/>
      <c r="B85" s="36" t="s">
        <v>41</v>
      </c>
      <c r="C85" s="37">
        <v>45565.0</v>
      </c>
      <c r="F85" s="38">
        <v>0.75</v>
      </c>
      <c r="I85" s="39" t="s">
        <v>228</v>
      </c>
      <c r="S85" s="39" t="s">
        <v>229</v>
      </c>
      <c r="AE85" s="40">
        <v>0.041666666666666664</v>
      </c>
      <c r="AG85" s="39" t="s">
        <v>176</v>
      </c>
      <c r="AJ85" s="41" t="s">
        <v>44</v>
      </c>
      <c r="AL85" s="42" t="s">
        <v>68</v>
      </c>
      <c r="AP85" s="43" t="str">
        <f t="shared" si="1"/>
        <v>REALIZADO</v>
      </c>
      <c r="AV85" s="44" t="s">
        <v>46</v>
      </c>
      <c r="AW85" s="45"/>
      <c r="AX85" s="35"/>
    </row>
    <row r="86" hidden="1">
      <c r="A86" s="24"/>
      <c r="B86" s="36" t="s">
        <v>41</v>
      </c>
      <c r="C86" s="37">
        <v>45565.0</v>
      </c>
      <c r="F86" s="38">
        <v>0.8541666666666666</v>
      </c>
      <c r="I86" s="39" t="s">
        <v>230</v>
      </c>
      <c r="S86" s="39" t="s">
        <v>231</v>
      </c>
      <c r="AE86" s="40">
        <v>0.041666666666666664</v>
      </c>
      <c r="AG86" s="39" t="s">
        <v>176</v>
      </c>
      <c r="AJ86" s="41" t="s">
        <v>44</v>
      </c>
      <c r="AL86" s="42" t="s">
        <v>68</v>
      </c>
      <c r="AP86" s="43" t="str">
        <f t="shared" si="1"/>
        <v>REALIZADO</v>
      </c>
      <c r="AV86" s="44" t="s">
        <v>46</v>
      </c>
      <c r="AW86" s="45"/>
      <c r="AX86" s="35"/>
    </row>
    <row r="87" hidden="1">
      <c r="A87" s="24"/>
      <c r="B87" s="36" t="s">
        <v>41</v>
      </c>
      <c r="C87" s="37">
        <v>45566.0</v>
      </c>
      <c r="F87" s="38">
        <v>0.7083333333333334</v>
      </c>
      <c r="I87" s="39" t="s">
        <v>232</v>
      </c>
      <c r="S87" s="39" t="s">
        <v>233</v>
      </c>
      <c r="AE87" s="40">
        <v>0.0625</v>
      </c>
      <c r="AG87" s="39" t="s">
        <v>176</v>
      </c>
      <c r="AJ87" s="41" t="s">
        <v>44</v>
      </c>
      <c r="AL87" s="42" t="s">
        <v>45</v>
      </c>
      <c r="AP87" s="43" t="str">
        <f t="shared" si="1"/>
        <v>REALIZADO</v>
      </c>
      <c r="AV87" s="44" t="s">
        <v>46</v>
      </c>
      <c r="AW87" s="45"/>
      <c r="AX87" s="35"/>
    </row>
    <row r="88" hidden="1">
      <c r="A88" s="24"/>
      <c r="B88" s="36" t="s">
        <v>34</v>
      </c>
      <c r="C88" s="37">
        <v>45568.0</v>
      </c>
      <c r="F88" s="38">
        <v>0.3854166666666667</v>
      </c>
      <c r="I88" s="39" t="s">
        <v>234</v>
      </c>
      <c r="S88" s="39" t="s">
        <v>235</v>
      </c>
      <c r="AE88" s="40">
        <v>0.4444444444444444</v>
      </c>
      <c r="AG88" s="39" t="s">
        <v>236</v>
      </c>
      <c r="AJ88" s="41" t="s">
        <v>237</v>
      </c>
      <c r="AL88" s="42" t="s">
        <v>68</v>
      </c>
      <c r="AP88" s="43" t="str">
        <f t="shared" si="1"/>
        <v>REALIZADO</v>
      </c>
      <c r="AV88" s="44" t="s">
        <v>46</v>
      </c>
      <c r="AW88" s="45"/>
      <c r="AX88" s="35"/>
    </row>
    <row r="89" hidden="1">
      <c r="A89" s="24"/>
      <c r="B89" s="36" t="s">
        <v>34</v>
      </c>
      <c r="C89" s="37">
        <v>45570.0</v>
      </c>
      <c r="F89" s="38">
        <v>0.5</v>
      </c>
      <c r="I89" s="39" t="s">
        <v>238</v>
      </c>
      <c r="S89" s="39" t="s">
        <v>239</v>
      </c>
      <c r="AE89" s="40">
        <v>0.3368055555555556</v>
      </c>
      <c r="AG89" s="39" t="s">
        <v>240</v>
      </c>
      <c r="AJ89" s="41" t="s">
        <v>44</v>
      </c>
      <c r="AL89" s="42" t="s">
        <v>68</v>
      </c>
      <c r="AP89" s="43" t="str">
        <f t="shared" si="1"/>
        <v>ABORTIVA</v>
      </c>
      <c r="AV89" s="44" t="s">
        <v>69</v>
      </c>
      <c r="AW89" s="45"/>
      <c r="AX89" s="35"/>
    </row>
    <row r="90" hidden="1">
      <c r="A90" s="24"/>
      <c r="B90" s="36" t="s">
        <v>34</v>
      </c>
      <c r="C90" s="37">
        <v>45570.0</v>
      </c>
      <c r="F90" s="38">
        <v>0.5</v>
      </c>
      <c r="I90" s="39" t="s">
        <v>241</v>
      </c>
      <c r="S90" s="39" t="s">
        <v>89</v>
      </c>
      <c r="AE90" s="40">
        <v>0.2465277777777778</v>
      </c>
      <c r="AG90" s="39" t="s">
        <v>242</v>
      </c>
      <c r="AJ90" s="41" t="s">
        <v>243</v>
      </c>
      <c r="AL90" s="42" t="s">
        <v>45</v>
      </c>
      <c r="AP90" s="43" t="str">
        <f t="shared" si="1"/>
        <v>REALIZADO</v>
      </c>
      <c r="AV90" s="44" t="s">
        <v>46</v>
      </c>
      <c r="AW90" s="45"/>
      <c r="AX90" s="35"/>
    </row>
    <row r="91" hidden="1">
      <c r="A91" s="24"/>
      <c r="B91" s="36" t="s">
        <v>34</v>
      </c>
      <c r="C91" s="37">
        <v>45571.0</v>
      </c>
      <c r="F91" s="38">
        <v>0.4166666666666667</v>
      </c>
      <c r="I91" s="39" t="s">
        <v>244</v>
      </c>
      <c r="S91" s="39" t="s">
        <v>245</v>
      </c>
      <c r="AE91" s="40">
        <v>0.2916666666666667</v>
      </c>
      <c r="AG91" s="39" t="s">
        <v>246</v>
      </c>
      <c r="AJ91" s="41" t="s">
        <v>247</v>
      </c>
      <c r="AL91" s="42" t="s">
        <v>45</v>
      </c>
      <c r="AP91" s="43" t="str">
        <f t="shared" si="1"/>
        <v>REALIZADO</v>
      </c>
      <c r="AV91" s="44" t="s">
        <v>46</v>
      </c>
      <c r="AW91" s="45"/>
      <c r="AX91" s="35"/>
    </row>
    <row r="92" hidden="1">
      <c r="A92" s="24"/>
      <c r="B92" s="36" t="s">
        <v>34</v>
      </c>
      <c r="C92" s="37">
        <v>45571.0</v>
      </c>
      <c r="F92" s="38">
        <v>0.5833333333333334</v>
      </c>
      <c r="I92" s="39" t="s">
        <v>248</v>
      </c>
      <c r="S92" s="39" t="s">
        <v>249</v>
      </c>
      <c r="AE92" s="40">
        <v>0.7048611111111112</v>
      </c>
      <c r="AG92" s="39" t="s">
        <v>250</v>
      </c>
      <c r="AJ92" s="41" t="s">
        <v>44</v>
      </c>
      <c r="AL92" s="42" t="s">
        <v>68</v>
      </c>
      <c r="AP92" s="43" t="str">
        <f t="shared" si="1"/>
        <v>ABORTIVA</v>
      </c>
      <c r="AV92" s="44" t="s">
        <v>69</v>
      </c>
      <c r="AW92" s="45"/>
      <c r="AX92" s="35"/>
    </row>
    <row r="93" hidden="1">
      <c r="A93" s="24"/>
      <c r="B93" s="36" t="s">
        <v>34</v>
      </c>
      <c r="C93" s="37">
        <v>45573.0</v>
      </c>
      <c r="F93" s="38">
        <v>0.4583333333333333</v>
      </c>
      <c r="I93" s="39" t="s">
        <v>251</v>
      </c>
      <c r="S93" s="39" t="s">
        <v>252</v>
      </c>
      <c r="AE93" s="40">
        <v>0.2986111111111111</v>
      </c>
      <c r="AG93" s="39" t="s">
        <v>253</v>
      </c>
      <c r="AJ93" s="41" t="s">
        <v>44</v>
      </c>
      <c r="AL93" s="42" t="s">
        <v>68</v>
      </c>
      <c r="AP93" s="43" t="str">
        <f t="shared" si="1"/>
        <v>ABORTIVA</v>
      </c>
      <c r="AV93" s="44" t="s">
        <v>69</v>
      </c>
      <c r="AW93" s="45"/>
      <c r="AX93" s="35"/>
    </row>
    <row r="94" hidden="1">
      <c r="A94" s="24"/>
      <c r="B94" s="36" t="s">
        <v>34</v>
      </c>
      <c r="C94" s="37">
        <v>45574.0</v>
      </c>
      <c r="F94" s="38">
        <v>0.5</v>
      </c>
      <c r="I94" s="39" t="s">
        <v>254</v>
      </c>
      <c r="S94" s="39" t="s">
        <v>255</v>
      </c>
      <c r="AE94" s="40">
        <v>0.1388888888888889</v>
      </c>
      <c r="AG94" s="39" t="s">
        <v>246</v>
      </c>
      <c r="AJ94" s="41" t="s">
        <v>256</v>
      </c>
      <c r="AL94" s="42" t="s">
        <v>45</v>
      </c>
      <c r="AP94" s="43" t="str">
        <f t="shared" si="1"/>
        <v>REALIZADO</v>
      </c>
      <c r="AV94" s="44" t="s">
        <v>46</v>
      </c>
      <c r="AW94" s="45"/>
      <c r="AX94" s="35"/>
    </row>
    <row r="95" hidden="1">
      <c r="A95" s="24"/>
      <c r="B95" s="36" t="s">
        <v>41</v>
      </c>
      <c r="C95" s="37">
        <v>45574.0</v>
      </c>
      <c r="F95" s="38">
        <v>0.7569444444444444</v>
      </c>
      <c r="I95" s="39" t="s">
        <v>257</v>
      </c>
      <c r="S95" s="39" t="s">
        <v>208</v>
      </c>
      <c r="AE95" s="40">
        <v>0.003472222222222222</v>
      </c>
      <c r="AG95" s="39" t="s">
        <v>44</v>
      </c>
      <c r="AJ95" s="41" t="s">
        <v>44</v>
      </c>
      <c r="AL95" s="42" t="s">
        <v>45</v>
      </c>
      <c r="AP95" s="43" t="str">
        <f t="shared" si="1"/>
        <v>REALIZADO</v>
      </c>
      <c r="AV95" s="44" t="s">
        <v>46</v>
      </c>
      <c r="AW95" s="45"/>
      <c r="AX95" s="35"/>
    </row>
    <row r="96" hidden="1">
      <c r="A96" s="24"/>
      <c r="B96" s="36" t="s">
        <v>41</v>
      </c>
      <c r="C96" s="37">
        <v>45579.0</v>
      </c>
      <c r="F96" s="38">
        <v>0.8333333333333334</v>
      </c>
      <c r="I96" s="39" t="s">
        <v>258</v>
      </c>
      <c r="S96" s="39" t="s">
        <v>208</v>
      </c>
      <c r="AE96" s="40">
        <v>0.003472222222222222</v>
      </c>
      <c r="AG96" s="39" t="s">
        <v>44</v>
      </c>
      <c r="AJ96" s="41" t="s">
        <v>44</v>
      </c>
      <c r="AL96" s="42" t="s">
        <v>259</v>
      </c>
      <c r="AP96" s="43" t="str">
        <f t="shared" si="1"/>
        <v>REALIZADO</v>
      </c>
      <c r="AV96" s="44" t="s">
        <v>46</v>
      </c>
      <c r="AW96" s="45"/>
      <c r="AX96" s="35"/>
    </row>
    <row r="97" hidden="1">
      <c r="A97" s="24"/>
      <c r="B97" s="36" t="s">
        <v>41</v>
      </c>
      <c r="C97" s="37">
        <v>45582.0</v>
      </c>
      <c r="F97" s="38">
        <v>0.3958333333333333</v>
      </c>
      <c r="I97" s="39" t="s">
        <v>260</v>
      </c>
      <c r="S97" s="39" t="s">
        <v>55</v>
      </c>
      <c r="AE97" s="40">
        <v>0.041666666666666664</v>
      </c>
      <c r="AG97" s="39" t="s">
        <v>44</v>
      </c>
      <c r="AJ97" s="41" t="s">
        <v>44</v>
      </c>
      <c r="AL97" s="42" t="s">
        <v>261</v>
      </c>
      <c r="AP97" s="43" t="str">
        <f t="shared" si="1"/>
        <v>REALIZADO</v>
      </c>
      <c r="AV97" s="44" t="s">
        <v>46</v>
      </c>
      <c r="AW97" s="45"/>
      <c r="AX97" s="35"/>
    </row>
    <row r="98" hidden="1">
      <c r="A98" s="24"/>
      <c r="B98" s="36" t="s">
        <v>34</v>
      </c>
      <c r="C98" s="37">
        <v>45583.0</v>
      </c>
      <c r="F98" s="38">
        <v>0.4583333333333333</v>
      </c>
      <c r="I98" s="39" t="s">
        <v>262</v>
      </c>
      <c r="S98" s="39" t="s">
        <v>263</v>
      </c>
      <c r="AE98" s="40">
        <v>0.10416666666666667</v>
      </c>
      <c r="AG98" s="39" t="s">
        <v>264</v>
      </c>
      <c r="AJ98" s="41" t="s">
        <v>265</v>
      </c>
      <c r="AL98" s="42" t="s">
        <v>261</v>
      </c>
      <c r="AP98" s="43" t="str">
        <f t="shared" si="1"/>
        <v>REALIZADO</v>
      </c>
      <c r="AV98" s="44" t="s">
        <v>46</v>
      </c>
      <c r="AW98" s="45"/>
      <c r="AX98" s="35"/>
    </row>
    <row r="99" hidden="1">
      <c r="A99" s="24"/>
      <c r="B99" s="36" t="s">
        <v>41</v>
      </c>
      <c r="C99" s="37">
        <v>45587.0</v>
      </c>
      <c r="F99" s="38">
        <v>0.75</v>
      </c>
      <c r="I99" s="39" t="s">
        <v>266</v>
      </c>
      <c r="S99" s="39" t="s">
        <v>233</v>
      </c>
      <c r="AE99" s="40">
        <v>0.041666666666666664</v>
      </c>
      <c r="AG99" s="39" t="s">
        <v>67</v>
      </c>
      <c r="AJ99" s="41" t="s">
        <v>44</v>
      </c>
      <c r="AL99" s="42" t="s">
        <v>45</v>
      </c>
      <c r="AP99" s="43" t="str">
        <f t="shared" si="1"/>
        <v>REALIZADO</v>
      </c>
      <c r="AV99" s="44" t="s">
        <v>46</v>
      </c>
      <c r="AW99" s="45"/>
      <c r="AX99" s="35"/>
    </row>
    <row r="100" hidden="1">
      <c r="A100" s="24"/>
      <c r="B100" s="36" t="s">
        <v>41</v>
      </c>
      <c r="C100" s="37">
        <v>45588.0</v>
      </c>
      <c r="F100" s="38">
        <v>0.5833333333333334</v>
      </c>
      <c r="I100" s="39" t="s">
        <v>267</v>
      </c>
      <c r="S100" s="39" t="s">
        <v>268</v>
      </c>
      <c r="AE100" s="40">
        <v>0.017361111111111112</v>
      </c>
      <c r="AG100" s="39" t="s">
        <v>67</v>
      </c>
      <c r="AJ100" s="41" t="s">
        <v>44</v>
      </c>
      <c r="AL100" s="42" t="s">
        <v>68</v>
      </c>
      <c r="AP100" s="43" t="str">
        <f t="shared" si="1"/>
        <v>REALIZADO</v>
      </c>
      <c r="AV100" s="44" t="s">
        <v>46</v>
      </c>
      <c r="AW100" s="45"/>
      <c r="AX100" s="35"/>
    </row>
    <row r="101" hidden="1">
      <c r="A101" s="24"/>
      <c r="B101" s="36" t="s">
        <v>34</v>
      </c>
      <c r="C101" s="37">
        <v>45588.0</v>
      </c>
      <c r="F101" s="38">
        <v>0.4166666666666667</v>
      </c>
      <c r="I101" s="39" t="s">
        <v>269</v>
      </c>
      <c r="S101" s="39" t="s">
        <v>270</v>
      </c>
      <c r="AE101" s="40">
        <v>0.08333333333333333</v>
      </c>
      <c r="AG101" s="39" t="s">
        <v>271</v>
      </c>
      <c r="AJ101" s="41" t="s">
        <v>272</v>
      </c>
      <c r="AL101" s="42" t="s">
        <v>45</v>
      </c>
      <c r="AP101" s="43" t="str">
        <f t="shared" si="1"/>
        <v>REALIZADO</v>
      </c>
      <c r="AV101" s="44" t="s">
        <v>46</v>
      </c>
      <c r="AW101" s="45"/>
      <c r="AX101" s="35"/>
    </row>
    <row r="102" hidden="1">
      <c r="A102" s="24"/>
      <c r="B102" s="36" t="s">
        <v>34</v>
      </c>
      <c r="C102" s="37">
        <v>45589.0</v>
      </c>
      <c r="F102" s="38">
        <v>0.5</v>
      </c>
      <c r="I102" s="39" t="s">
        <v>273</v>
      </c>
      <c r="S102" s="39" t="s">
        <v>274</v>
      </c>
      <c r="AE102" s="40">
        <v>0.6701388888888888</v>
      </c>
      <c r="AG102" s="39" t="s">
        <v>275</v>
      </c>
      <c r="AJ102" s="41" t="s">
        <v>276</v>
      </c>
      <c r="AL102" s="42" t="s">
        <v>68</v>
      </c>
      <c r="AP102" s="43" t="str">
        <f t="shared" si="1"/>
        <v>REALIZADO</v>
      </c>
      <c r="AV102" s="44" t="s">
        <v>46</v>
      </c>
      <c r="AW102" s="45"/>
      <c r="AX102" s="35"/>
    </row>
    <row r="103" hidden="1">
      <c r="A103" s="24"/>
      <c r="B103" s="36" t="s">
        <v>34</v>
      </c>
      <c r="C103" s="37">
        <v>45592.0</v>
      </c>
      <c r="F103" s="38">
        <v>0.5</v>
      </c>
      <c r="I103" s="39" t="s">
        <v>277</v>
      </c>
      <c r="S103" s="39" t="s">
        <v>278</v>
      </c>
      <c r="AE103" s="40">
        <v>0.2222222222222222</v>
      </c>
      <c r="AG103" s="39" t="s">
        <v>279</v>
      </c>
      <c r="AJ103" s="41" t="s">
        <v>280</v>
      </c>
      <c r="AL103" s="42" t="s">
        <v>45</v>
      </c>
      <c r="AP103" s="43" t="str">
        <f t="shared" si="1"/>
        <v>REALIZADO</v>
      </c>
      <c r="AV103" s="44" t="s">
        <v>46</v>
      </c>
      <c r="AW103" s="45"/>
      <c r="AX103" s="35"/>
    </row>
    <row r="104" hidden="1">
      <c r="A104" s="24"/>
      <c r="B104" s="36" t="s">
        <v>34</v>
      </c>
      <c r="C104" s="37">
        <v>45593.0</v>
      </c>
      <c r="F104" s="38">
        <v>0.375</v>
      </c>
      <c r="I104" s="39" t="s">
        <v>281</v>
      </c>
      <c r="S104" s="39" t="s">
        <v>278</v>
      </c>
      <c r="AE104" s="40">
        <v>0.2222222222222222</v>
      </c>
      <c r="AG104" s="39" t="s">
        <v>282</v>
      </c>
      <c r="AJ104" s="41" t="s">
        <v>283</v>
      </c>
      <c r="AL104" s="42" t="s">
        <v>45</v>
      </c>
      <c r="AP104" s="43" t="str">
        <f t="shared" si="1"/>
        <v>REALIZADO</v>
      </c>
      <c r="AV104" s="44" t="s">
        <v>46</v>
      </c>
      <c r="AW104" s="45"/>
      <c r="AX104" s="35"/>
    </row>
    <row r="105" hidden="1">
      <c r="A105" s="24"/>
      <c r="B105" s="36" t="s">
        <v>41</v>
      </c>
      <c r="C105" s="37">
        <v>45593.0</v>
      </c>
      <c r="F105" s="38">
        <v>0.3888888888888889</v>
      </c>
      <c r="I105" s="39" t="s">
        <v>284</v>
      </c>
      <c r="S105" s="39" t="s">
        <v>185</v>
      </c>
      <c r="AE105" s="40">
        <v>0.003472222222222222</v>
      </c>
      <c r="AG105" s="46" t="s">
        <v>44</v>
      </c>
      <c r="AJ105" s="41" t="s">
        <v>44</v>
      </c>
      <c r="AL105" s="42" t="s">
        <v>68</v>
      </c>
      <c r="AP105" s="43" t="str">
        <f t="shared" si="1"/>
        <v>REALIZADO</v>
      </c>
      <c r="AV105" s="44" t="s">
        <v>46</v>
      </c>
      <c r="AW105" s="45"/>
      <c r="AX105" s="35"/>
    </row>
    <row r="106" hidden="1">
      <c r="A106" s="24"/>
      <c r="B106" s="36" t="s">
        <v>34</v>
      </c>
      <c r="C106" s="37">
        <v>45593.0</v>
      </c>
      <c r="F106" s="38">
        <v>0.4270833333333333</v>
      </c>
      <c r="I106" s="39" t="s">
        <v>285</v>
      </c>
      <c r="S106" s="39" t="s">
        <v>286</v>
      </c>
      <c r="AE106" s="40">
        <v>0.16319444444444445</v>
      </c>
      <c r="AG106" s="39" t="s">
        <v>287</v>
      </c>
      <c r="AJ106" s="41" t="s">
        <v>288</v>
      </c>
      <c r="AL106" s="42" t="s">
        <v>68</v>
      </c>
      <c r="AP106" s="43" t="str">
        <f t="shared" si="1"/>
        <v>REALIZADO</v>
      </c>
      <c r="AV106" s="44" t="s">
        <v>46</v>
      </c>
      <c r="AW106" s="45"/>
      <c r="AX106" s="35"/>
    </row>
    <row r="107" hidden="1">
      <c r="A107" s="24"/>
      <c r="B107" s="36" t="s">
        <v>34</v>
      </c>
      <c r="C107" s="37">
        <v>45593.0</v>
      </c>
      <c r="F107" s="38">
        <v>0.7152777777777778</v>
      </c>
      <c r="I107" s="39" t="s">
        <v>289</v>
      </c>
      <c r="S107" s="39" t="s">
        <v>290</v>
      </c>
      <c r="AE107" s="40">
        <v>0.3125</v>
      </c>
      <c r="AG107" s="39" t="s">
        <v>291</v>
      </c>
      <c r="AJ107" s="41" t="s">
        <v>292</v>
      </c>
      <c r="AL107" s="42" t="s">
        <v>68</v>
      </c>
      <c r="AP107" s="43" t="str">
        <f t="shared" si="1"/>
        <v>REALIZADO</v>
      </c>
      <c r="AV107" s="44" t="s">
        <v>46</v>
      </c>
      <c r="AW107" s="45"/>
      <c r="AX107" s="35"/>
    </row>
    <row r="108" hidden="1">
      <c r="A108" s="24"/>
      <c r="B108" s="36" t="s">
        <v>34</v>
      </c>
      <c r="C108" s="37">
        <v>45595.0</v>
      </c>
      <c r="F108" s="38">
        <v>0.7083333333333334</v>
      </c>
      <c r="I108" s="39" t="s">
        <v>293</v>
      </c>
      <c r="S108" s="39" t="s">
        <v>294</v>
      </c>
      <c r="AE108" s="40">
        <v>0.3020833333333333</v>
      </c>
      <c r="AG108" s="39" t="s">
        <v>295</v>
      </c>
      <c r="AJ108" s="41" t="s">
        <v>296</v>
      </c>
      <c r="AL108" s="42" t="s">
        <v>53</v>
      </c>
      <c r="AP108" s="43" t="str">
        <f t="shared" si="1"/>
        <v>REALIZADO</v>
      </c>
      <c r="AV108" s="44" t="s">
        <v>46</v>
      </c>
      <c r="AW108" s="45"/>
      <c r="AX108" s="35"/>
    </row>
    <row r="109" hidden="1">
      <c r="A109" s="24"/>
      <c r="B109" s="36" t="s">
        <v>34</v>
      </c>
      <c r="C109" s="37">
        <v>45595.0</v>
      </c>
      <c r="F109" s="38">
        <v>0.5</v>
      </c>
      <c r="I109" s="39" t="s">
        <v>297</v>
      </c>
      <c r="S109" s="39" t="s">
        <v>298</v>
      </c>
      <c r="AE109" s="40">
        <v>0.20833333333333334</v>
      </c>
      <c r="AG109" s="39" t="s">
        <v>299</v>
      </c>
      <c r="AJ109" s="41" t="s">
        <v>300</v>
      </c>
      <c r="AL109" s="42" t="s">
        <v>45</v>
      </c>
      <c r="AP109" s="43" t="str">
        <f t="shared" si="1"/>
        <v>REALIZADO</v>
      </c>
      <c r="AV109" s="44" t="s">
        <v>46</v>
      </c>
      <c r="AW109" s="45"/>
      <c r="AX109" s="35"/>
    </row>
    <row r="110" hidden="1">
      <c r="A110" s="24"/>
      <c r="B110" s="36" t="s">
        <v>34</v>
      </c>
      <c r="C110" s="37">
        <v>45595.0</v>
      </c>
      <c r="F110" s="38">
        <v>0.5</v>
      </c>
      <c r="I110" s="39" t="s">
        <v>301</v>
      </c>
      <c r="S110" s="39" t="s">
        <v>302</v>
      </c>
      <c r="AE110" s="40">
        <v>0.7465277777777778</v>
      </c>
      <c r="AG110" s="39" t="s">
        <v>303</v>
      </c>
      <c r="AJ110" s="41" t="s">
        <v>304</v>
      </c>
      <c r="AL110" s="42" t="s">
        <v>68</v>
      </c>
      <c r="AP110" s="43" t="str">
        <f t="shared" si="1"/>
        <v>REALIZADO</v>
      </c>
      <c r="AV110" s="44" t="s">
        <v>46</v>
      </c>
      <c r="AW110" s="45"/>
      <c r="AX110" s="35"/>
    </row>
    <row r="111" hidden="1">
      <c r="A111" s="24"/>
      <c r="B111" s="36" t="s">
        <v>41</v>
      </c>
      <c r="C111" s="37">
        <v>45596.0</v>
      </c>
      <c r="F111" s="38">
        <v>0.7916666666666666</v>
      </c>
      <c r="I111" s="39" t="s">
        <v>305</v>
      </c>
      <c r="S111" s="39" t="s">
        <v>43</v>
      </c>
      <c r="AE111" s="40">
        <v>0.006944444444444444</v>
      </c>
      <c r="AG111" s="39" t="s">
        <v>44</v>
      </c>
      <c r="AJ111" s="41" t="s">
        <v>44</v>
      </c>
      <c r="AL111" s="42" t="s">
        <v>45</v>
      </c>
      <c r="AP111" s="43" t="str">
        <f t="shared" si="1"/>
        <v>REALIZADO</v>
      </c>
      <c r="AV111" s="44" t="s">
        <v>46</v>
      </c>
      <c r="AW111" s="45"/>
      <c r="AX111" s="35"/>
    </row>
    <row r="112" hidden="1">
      <c r="A112" s="24"/>
      <c r="B112" s="36" t="s">
        <v>34</v>
      </c>
      <c r="C112" s="37">
        <v>45597.0</v>
      </c>
      <c r="F112" s="38">
        <v>0.7083333333333334</v>
      </c>
      <c r="I112" s="39" t="s">
        <v>306</v>
      </c>
      <c r="S112" s="39" t="s">
        <v>270</v>
      </c>
      <c r="AE112" s="40">
        <v>0.08333333333333333</v>
      </c>
      <c r="AG112" s="39" t="s">
        <v>307</v>
      </c>
      <c r="AJ112" s="41" t="s">
        <v>308</v>
      </c>
      <c r="AL112" s="42" t="s">
        <v>45</v>
      </c>
      <c r="AP112" s="43" t="str">
        <f t="shared" si="1"/>
        <v>REALIZADO</v>
      </c>
      <c r="AV112" s="44" t="s">
        <v>46</v>
      </c>
      <c r="AW112" s="45"/>
      <c r="AX112" s="35"/>
    </row>
    <row r="113" hidden="1">
      <c r="A113" s="24"/>
      <c r="B113" s="36" t="s">
        <v>41</v>
      </c>
      <c r="C113" s="37">
        <v>45597.0</v>
      </c>
      <c r="F113" s="38">
        <v>0.5</v>
      </c>
      <c r="I113" s="39" t="s">
        <v>309</v>
      </c>
      <c r="S113" s="39" t="s">
        <v>268</v>
      </c>
      <c r="AE113" s="40">
        <v>0.020833333333333332</v>
      </c>
      <c r="AG113" s="39" t="s">
        <v>44</v>
      </c>
      <c r="AJ113" s="41" t="s">
        <v>44</v>
      </c>
      <c r="AL113" s="42" t="s">
        <v>53</v>
      </c>
      <c r="AP113" s="43" t="str">
        <f t="shared" si="1"/>
        <v>REALIZADO</v>
      </c>
      <c r="AV113" s="44" t="s">
        <v>46</v>
      </c>
      <c r="AW113" s="45"/>
      <c r="AX113" s="35"/>
    </row>
    <row r="114" hidden="1">
      <c r="A114" s="24"/>
      <c r="B114" s="36" t="s">
        <v>41</v>
      </c>
      <c r="C114" s="37">
        <v>45597.0</v>
      </c>
      <c r="F114" s="38">
        <v>0.53125</v>
      </c>
      <c r="I114" s="39" t="s">
        <v>310</v>
      </c>
      <c r="S114" s="39" t="s">
        <v>268</v>
      </c>
      <c r="AE114" s="40">
        <v>0.020833333333333332</v>
      </c>
      <c r="AG114" s="39" t="s">
        <v>44</v>
      </c>
      <c r="AJ114" s="41" t="s">
        <v>44</v>
      </c>
      <c r="AL114" s="42" t="s">
        <v>53</v>
      </c>
      <c r="AP114" s="43" t="str">
        <f t="shared" si="1"/>
        <v>REALIZADO</v>
      </c>
      <c r="AV114" s="44" t="s">
        <v>46</v>
      </c>
      <c r="AW114" s="45"/>
      <c r="AX114" s="35"/>
    </row>
    <row r="115" hidden="1">
      <c r="A115" s="24"/>
      <c r="B115" s="36" t="s">
        <v>41</v>
      </c>
      <c r="C115" s="37">
        <v>45597.0</v>
      </c>
      <c r="F115" s="38">
        <v>0.6666666666666666</v>
      </c>
      <c r="I115" s="39" t="s">
        <v>311</v>
      </c>
      <c r="S115" s="39" t="s">
        <v>312</v>
      </c>
      <c r="AE115" s="40">
        <v>0.041666666666666664</v>
      </c>
      <c r="AG115" s="39" t="s">
        <v>44</v>
      </c>
      <c r="AJ115" s="41" t="s">
        <v>44</v>
      </c>
      <c r="AL115" s="42" t="s">
        <v>45</v>
      </c>
      <c r="AP115" s="43" t="str">
        <f t="shared" si="1"/>
        <v>REALIZADO</v>
      </c>
      <c r="AV115" s="44" t="s">
        <v>46</v>
      </c>
      <c r="AW115" s="45"/>
      <c r="AX115" s="35"/>
    </row>
    <row r="116" hidden="1">
      <c r="A116" s="24"/>
      <c r="B116" s="36" t="s">
        <v>41</v>
      </c>
      <c r="C116" s="37">
        <v>45597.0</v>
      </c>
      <c r="F116" s="38">
        <v>0.7083333333333334</v>
      </c>
      <c r="I116" s="39" t="s">
        <v>313</v>
      </c>
      <c r="S116" s="39" t="s">
        <v>312</v>
      </c>
      <c r="AE116" s="40">
        <v>0.041666666666666664</v>
      </c>
      <c r="AG116" s="39" t="s">
        <v>44</v>
      </c>
      <c r="AJ116" s="41" t="s">
        <v>44</v>
      </c>
      <c r="AL116" s="42" t="s">
        <v>45</v>
      </c>
      <c r="AP116" s="43" t="str">
        <f t="shared" si="1"/>
        <v>REALIZADO</v>
      </c>
      <c r="AV116" s="44" t="s">
        <v>46</v>
      </c>
      <c r="AW116" s="45"/>
      <c r="AX116" s="35"/>
    </row>
    <row r="117" hidden="1">
      <c r="A117" s="24"/>
      <c r="B117" s="36" t="s">
        <v>41</v>
      </c>
      <c r="C117" s="37">
        <v>45598.0</v>
      </c>
      <c r="F117" s="38">
        <v>0.4166666666666667</v>
      </c>
      <c r="I117" s="39" t="s">
        <v>314</v>
      </c>
      <c r="S117" s="39" t="s">
        <v>233</v>
      </c>
      <c r="AE117" s="40">
        <v>0.0625</v>
      </c>
      <c r="AG117" s="39" t="s">
        <v>44</v>
      </c>
      <c r="AJ117" s="41" t="s">
        <v>44</v>
      </c>
      <c r="AL117" s="42" t="s">
        <v>45</v>
      </c>
      <c r="AP117" s="43" t="str">
        <f t="shared" si="1"/>
        <v>REALIZADO</v>
      </c>
      <c r="AV117" s="44" t="s">
        <v>46</v>
      </c>
      <c r="AW117" s="45"/>
      <c r="AX117" s="35"/>
    </row>
    <row r="118" hidden="1">
      <c r="A118" s="24"/>
      <c r="B118" s="36" t="s">
        <v>41</v>
      </c>
      <c r="C118" s="37">
        <v>45598.0</v>
      </c>
      <c r="F118" s="38">
        <v>0.5416666666666666</v>
      </c>
      <c r="I118" s="39" t="s">
        <v>315</v>
      </c>
      <c r="S118" s="39" t="s">
        <v>233</v>
      </c>
      <c r="AE118" s="40">
        <v>0.0625</v>
      </c>
      <c r="AG118" s="39" t="s">
        <v>44</v>
      </c>
      <c r="AJ118" s="41" t="s">
        <v>44</v>
      </c>
      <c r="AL118" s="42" t="s">
        <v>45</v>
      </c>
      <c r="AP118" s="43" t="str">
        <f t="shared" si="1"/>
        <v>REALIZADO</v>
      </c>
      <c r="AV118" s="44" t="s">
        <v>46</v>
      </c>
      <c r="AW118" s="45"/>
      <c r="AX118" s="35"/>
    </row>
    <row r="119" hidden="1">
      <c r="A119" s="24"/>
      <c r="B119" s="36" t="s">
        <v>41</v>
      </c>
      <c r="C119" s="37">
        <v>45599.0</v>
      </c>
      <c r="F119" s="38">
        <v>0.8541666666666666</v>
      </c>
      <c r="I119" s="39" t="s">
        <v>316</v>
      </c>
      <c r="S119" s="39" t="s">
        <v>268</v>
      </c>
      <c r="AE119" s="40">
        <v>0.041666666666666664</v>
      </c>
      <c r="AG119" s="39" t="s">
        <v>44</v>
      </c>
      <c r="AJ119" s="41" t="s">
        <v>44</v>
      </c>
      <c r="AL119" s="42" t="s">
        <v>45</v>
      </c>
      <c r="AP119" s="43" t="str">
        <f t="shared" si="1"/>
        <v>REALIZADO</v>
      </c>
      <c r="AV119" s="44" t="s">
        <v>46</v>
      </c>
      <c r="AW119" s="45"/>
      <c r="AX119" s="35"/>
    </row>
    <row r="120" hidden="1">
      <c r="A120" s="24"/>
      <c r="B120" s="36" t="s">
        <v>41</v>
      </c>
      <c r="C120" s="37">
        <v>45599.0</v>
      </c>
      <c r="F120" s="38">
        <v>0.9583333333333334</v>
      </c>
      <c r="I120" s="39" t="s">
        <v>317</v>
      </c>
      <c r="S120" s="39" t="s">
        <v>268</v>
      </c>
      <c r="AE120" s="40">
        <v>0.041666666666666664</v>
      </c>
      <c r="AG120" s="39" t="s">
        <v>44</v>
      </c>
      <c r="AJ120" s="41" t="s">
        <v>44</v>
      </c>
      <c r="AL120" s="42" t="s">
        <v>45</v>
      </c>
      <c r="AP120" s="43" t="str">
        <f t="shared" si="1"/>
        <v>REALIZADO</v>
      </c>
      <c r="AV120" s="44" t="s">
        <v>46</v>
      </c>
      <c r="AW120" s="45"/>
      <c r="AX120" s="35"/>
    </row>
    <row r="121" hidden="1">
      <c r="A121" s="24"/>
      <c r="B121" s="36" t="s">
        <v>34</v>
      </c>
      <c r="C121" s="37">
        <v>45600.0</v>
      </c>
      <c r="F121" s="38">
        <v>0.5</v>
      </c>
      <c r="I121" s="39" t="s">
        <v>318</v>
      </c>
      <c r="S121" s="39" t="s">
        <v>319</v>
      </c>
      <c r="AE121" s="40">
        <v>0.3888888888888889</v>
      </c>
      <c r="AG121" s="39" t="s">
        <v>320</v>
      </c>
      <c r="AJ121" s="41" t="s">
        <v>321</v>
      </c>
      <c r="AL121" s="42" t="s">
        <v>45</v>
      </c>
      <c r="AP121" s="43" t="str">
        <f t="shared" si="1"/>
        <v>REALIZADO</v>
      </c>
      <c r="AV121" s="44" t="s">
        <v>46</v>
      </c>
      <c r="AW121" s="45"/>
      <c r="AX121" s="35"/>
    </row>
    <row r="122" hidden="1">
      <c r="A122" s="24"/>
      <c r="B122" s="36" t="s">
        <v>34</v>
      </c>
      <c r="C122" s="37">
        <v>45601.0</v>
      </c>
      <c r="F122" s="38">
        <v>0.625</v>
      </c>
      <c r="I122" s="39" t="s">
        <v>322</v>
      </c>
      <c r="S122" s="39" t="s">
        <v>323</v>
      </c>
      <c r="AE122" s="40">
        <v>0.4826388888888889</v>
      </c>
      <c r="AG122" s="39" t="s">
        <v>324</v>
      </c>
      <c r="AJ122" s="41" t="s">
        <v>44</v>
      </c>
      <c r="AL122" s="42" t="s">
        <v>53</v>
      </c>
      <c r="AP122" s="43" t="str">
        <f t="shared" si="1"/>
        <v>ABORTIVA</v>
      </c>
      <c r="AV122" s="44" t="s">
        <v>69</v>
      </c>
      <c r="AW122" s="45"/>
      <c r="AX122" s="35"/>
    </row>
    <row r="123" hidden="1">
      <c r="A123" s="24"/>
      <c r="B123" s="36" t="s">
        <v>34</v>
      </c>
      <c r="C123" s="37">
        <v>45602.0</v>
      </c>
      <c r="F123" s="38">
        <v>0.9166666666666666</v>
      </c>
      <c r="I123" s="39" t="s">
        <v>325</v>
      </c>
      <c r="S123" s="39" t="s">
        <v>298</v>
      </c>
      <c r="AE123" s="40">
        <v>0.125</v>
      </c>
      <c r="AG123" s="39" t="s">
        <v>326</v>
      </c>
      <c r="AJ123" s="41" t="s">
        <v>327</v>
      </c>
      <c r="AL123" s="42" t="s">
        <v>53</v>
      </c>
      <c r="AP123" s="43" t="str">
        <f t="shared" si="1"/>
        <v>REALIZADO</v>
      </c>
      <c r="AV123" s="44" t="s">
        <v>46</v>
      </c>
      <c r="AW123" s="45"/>
      <c r="AX123" s="35"/>
    </row>
    <row r="124" hidden="1">
      <c r="A124" s="24"/>
      <c r="B124" s="36" t="s">
        <v>41</v>
      </c>
      <c r="C124" s="37">
        <v>45602.0</v>
      </c>
      <c r="F124" s="38">
        <v>0.375</v>
      </c>
      <c r="I124" s="39" t="s">
        <v>328</v>
      </c>
      <c r="S124" s="39" t="s">
        <v>268</v>
      </c>
      <c r="AE124" s="40">
        <v>0.041666666666666664</v>
      </c>
      <c r="AG124" s="39" t="s">
        <v>44</v>
      </c>
      <c r="AJ124" s="41" t="s">
        <v>44</v>
      </c>
      <c r="AL124" s="42" t="s">
        <v>45</v>
      </c>
      <c r="AP124" s="43" t="str">
        <f t="shared" si="1"/>
        <v>REALIZADO</v>
      </c>
      <c r="AV124" s="44" t="s">
        <v>46</v>
      </c>
      <c r="AW124" s="45"/>
      <c r="AX124" s="35"/>
    </row>
    <row r="125" hidden="1">
      <c r="A125" s="24"/>
      <c r="B125" s="36" t="s">
        <v>34</v>
      </c>
      <c r="C125" s="37">
        <v>45603.0</v>
      </c>
      <c r="F125" s="38">
        <v>0.5</v>
      </c>
      <c r="I125" s="39" t="s">
        <v>329</v>
      </c>
      <c r="S125" s="39" t="s">
        <v>330</v>
      </c>
      <c r="AE125" s="40">
        <v>0.6770833333333334</v>
      </c>
      <c r="AG125" s="39" t="s">
        <v>331</v>
      </c>
      <c r="AJ125" s="41" t="s">
        <v>332</v>
      </c>
      <c r="AL125" s="42" t="s">
        <v>45</v>
      </c>
      <c r="AP125" s="43" t="str">
        <f t="shared" si="1"/>
        <v>REALIZADO</v>
      </c>
      <c r="AV125" s="44" t="s">
        <v>46</v>
      </c>
      <c r="AW125" s="45"/>
      <c r="AX125" s="35"/>
    </row>
    <row r="126" hidden="1">
      <c r="A126" s="24"/>
      <c r="B126" s="36" t="s">
        <v>34</v>
      </c>
      <c r="C126" s="37">
        <v>45604.0</v>
      </c>
      <c r="F126" s="38">
        <v>0.40625</v>
      </c>
      <c r="I126" s="39" t="s">
        <v>333</v>
      </c>
      <c r="S126" s="39" t="s">
        <v>334</v>
      </c>
      <c r="AE126" s="40">
        <v>0.2152777777777778</v>
      </c>
      <c r="AG126" s="39" t="s">
        <v>335</v>
      </c>
      <c r="AJ126" s="41" t="s">
        <v>336</v>
      </c>
      <c r="AL126" s="42" t="s">
        <v>261</v>
      </c>
      <c r="AP126" s="43" t="str">
        <f t="shared" si="1"/>
        <v>REALIZADO</v>
      </c>
      <c r="AV126" s="44" t="s">
        <v>46</v>
      </c>
      <c r="AW126" s="45"/>
      <c r="AX126" s="35"/>
    </row>
    <row r="127" hidden="1">
      <c r="A127" s="24"/>
      <c r="B127" s="36" t="s">
        <v>34</v>
      </c>
      <c r="C127" s="37">
        <v>45605.0</v>
      </c>
      <c r="F127" s="38">
        <v>0.4583333333333333</v>
      </c>
      <c r="I127" s="39" t="s">
        <v>329</v>
      </c>
      <c r="S127" s="39" t="s">
        <v>337</v>
      </c>
      <c r="AE127" s="40">
        <v>0.5833333333333334</v>
      </c>
      <c r="AG127" s="39" t="s">
        <v>338</v>
      </c>
      <c r="AJ127" s="41" t="s">
        <v>339</v>
      </c>
      <c r="AL127" s="42" t="s">
        <v>45</v>
      </c>
      <c r="AP127" s="43" t="str">
        <f t="shared" si="1"/>
        <v>REALIZADO</v>
      </c>
      <c r="AV127" s="44" t="s">
        <v>46</v>
      </c>
      <c r="AW127" s="45"/>
      <c r="AX127" s="35"/>
    </row>
    <row r="128" hidden="1">
      <c r="A128" s="24"/>
      <c r="B128" s="36" t="s">
        <v>34</v>
      </c>
      <c r="C128" s="37">
        <v>45605.0</v>
      </c>
      <c r="F128" s="38">
        <v>0.4166666666666667</v>
      </c>
      <c r="I128" s="39" t="s">
        <v>340</v>
      </c>
      <c r="S128" s="39" t="s">
        <v>270</v>
      </c>
      <c r="AE128" s="40">
        <v>0.04861111111111111</v>
      </c>
      <c r="AG128" s="39" t="s">
        <v>341</v>
      </c>
      <c r="AJ128" s="41" t="s">
        <v>342</v>
      </c>
      <c r="AL128" s="42" t="s">
        <v>53</v>
      </c>
      <c r="AP128" s="43" t="str">
        <f t="shared" si="1"/>
        <v>REALIZADO</v>
      </c>
      <c r="AV128" s="44" t="s">
        <v>46</v>
      </c>
      <c r="AW128" s="45"/>
      <c r="AX128" s="35"/>
    </row>
    <row r="129" hidden="1">
      <c r="A129" s="24"/>
      <c r="B129" s="36" t="s">
        <v>41</v>
      </c>
      <c r="C129" s="37">
        <v>45605.0</v>
      </c>
      <c r="F129" s="38">
        <v>0.3541666666666667</v>
      </c>
      <c r="I129" s="39" t="s">
        <v>343</v>
      </c>
      <c r="S129" s="39" t="s">
        <v>66</v>
      </c>
      <c r="AE129" s="40">
        <v>0.041666666666666664</v>
      </c>
      <c r="AG129" s="39" t="s">
        <v>44</v>
      </c>
      <c r="AJ129" s="41" t="s">
        <v>44</v>
      </c>
      <c r="AL129" s="42" t="s">
        <v>68</v>
      </c>
      <c r="AP129" s="43" t="str">
        <f t="shared" si="1"/>
        <v>REALIZADO</v>
      </c>
      <c r="AV129" s="44" t="s">
        <v>46</v>
      </c>
      <c r="AW129" s="45"/>
      <c r="AX129" s="35"/>
    </row>
    <row r="130" hidden="1">
      <c r="A130" s="24"/>
      <c r="B130" s="36" t="s">
        <v>34</v>
      </c>
      <c r="C130" s="37">
        <v>45606.0</v>
      </c>
      <c r="F130" s="38">
        <v>0.4583333333333333</v>
      </c>
      <c r="I130" s="39" t="s">
        <v>344</v>
      </c>
      <c r="S130" s="39" t="s">
        <v>345</v>
      </c>
      <c r="AE130" s="40">
        <v>0.5069444444444444</v>
      </c>
      <c r="AG130" s="39" t="s">
        <v>346</v>
      </c>
      <c r="AJ130" s="41" t="s">
        <v>347</v>
      </c>
      <c r="AL130" s="42" t="s">
        <v>53</v>
      </c>
      <c r="AP130" s="43" t="str">
        <f t="shared" si="1"/>
        <v>REALIZADO</v>
      </c>
      <c r="AV130" s="44" t="s">
        <v>46</v>
      </c>
      <c r="AW130" s="45"/>
      <c r="AX130" s="35"/>
    </row>
    <row r="131" hidden="1">
      <c r="A131" s="24"/>
      <c r="B131" s="36" t="s">
        <v>34</v>
      </c>
      <c r="C131" s="37">
        <v>45607.0</v>
      </c>
      <c r="F131" s="38">
        <v>0.3854166666666667</v>
      </c>
      <c r="I131" s="39" t="s">
        <v>348</v>
      </c>
      <c r="S131" s="39" t="s">
        <v>349</v>
      </c>
      <c r="AE131" s="40">
        <v>0.4236111111111111</v>
      </c>
      <c r="AG131" s="39" t="s">
        <v>350</v>
      </c>
      <c r="AJ131" s="41" t="s">
        <v>351</v>
      </c>
      <c r="AL131" s="42" t="s">
        <v>68</v>
      </c>
      <c r="AP131" s="43" t="str">
        <f t="shared" si="1"/>
        <v>REALIZADO</v>
      </c>
      <c r="AV131" s="44" t="s">
        <v>46</v>
      </c>
      <c r="AW131" s="45"/>
      <c r="AX131" s="35"/>
    </row>
    <row r="132" hidden="1">
      <c r="A132" s="24"/>
      <c r="B132" s="36" t="s">
        <v>34</v>
      </c>
      <c r="C132" s="37">
        <v>45608.0</v>
      </c>
      <c r="F132" s="38">
        <v>0.4375</v>
      </c>
      <c r="I132" s="39" t="s">
        <v>352</v>
      </c>
      <c r="S132" s="39" t="s">
        <v>353</v>
      </c>
      <c r="AE132" s="40">
        <v>0.2326388888888889</v>
      </c>
      <c r="AG132" s="39" t="s">
        <v>354</v>
      </c>
      <c r="AJ132" s="41" t="s">
        <v>355</v>
      </c>
      <c r="AL132" s="42" t="s">
        <v>53</v>
      </c>
      <c r="AP132" s="43" t="str">
        <f t="shared" si="1"/>
        <v>REALIZADO</v>
      </c>
      <c r="AV132" s="44" t="s">
        <v>46</v>
      </c>
      <c r="AW132" s="45"/>
      <c r="AX132" s="35"/>
    </row>
    <row r="133" hidden="1">
      <c r="A133" s="24"/>
      <c r="B133" s="36" t="s">
        <v>34</v>
      </c>
      <c r="C133" s="37">
        <v>45609.0</v>
      </c>
      <c r="F133" s="38">
        <v>0.3125</v>
      </c>
      <c r="I133" s="39" t="s">
        <v>356</v>
      </c>
      <c r="S133" s="39" t="s">
        <v>357</v>
      </c>
      <c r="AE133" s="40">
        <v>0.2777777777777778</v>
      </c>
      <c r="AG133" s="39" t="s">
        <v>358</v>
      </c>
      <c r="AJ133" s="41" t="s">
        <v>359</v>
      </c>
      <c r="AL133" s="42" t="s">
        <v>45</v>
      </c>
      <c r="AP133" s="43" t="str">
        <f t="shared" si="1"/>
        <v>REALIZADO</v>
      </c>
      <c r="AV133" s="44" t="s">
        <v>46</v>
      </c>
      <c r="AW133" s="45"/>
      <c r="AX133" s="35"/>
    </row>
    <row r="134" hidden="1">
      <c r="A134" s="24"/>
      <c r="B134" s="36" t="s">
        <v>34</v>
      </c>
      <c r="C134" s="37">
        <v>45609.0</v>
      </c>
      <c r="F134" s="38">
        <v>0.375</v>
      </c>
      <c r="I134" s="39" t="s">
        <v>352</v>
      </c>
      <c r="S134" s="39" t="s">
        <v>360</v>
      </c>
      <c r="AE134" s="40">
        <v>0.0763888888888889</v>
      </c>
      <c r="AG134" s="39" t="s">
        <v>361</v>
      </c>
      <c r="AJ134" s="41" t="s">
        <v>362</v>
      </c>
      <c r="AL134" s="42" t="s">
        <v>53</v>
      </c>
      <c r="AP134" s="43" t="str">
        <f t="shared" si="1"/>
        <v>REALIZADO</v>
      </c>
      <c r="AV134" s="44" t="s">
        <v>46</v>
      </c>
      <c r="AW134" s="45"/>
      <c r="AX134" s="35"/>
    </row>
    <row r="135" hidden="1">
      <c r="A135" s="24"/>
      <c r="B135" s="36" t="s">
        <v>34</v>
      </c>
      <c r="C135" s="37">
        <v>45609.0</v>
      </c>
      <c r="F135" s="38">
        <v>0.6631944444444444</v>
      </c>
      <c r="I135" s="39" t="s">
        <v>352</v>
      </c>
      <c r="S135" s="39" t="s">
        <v>363</v>
      </c>
      <c r="AE135" s="40">
        <v>0.05555555555555555</v>
      </c>
      <c r="AG135" s="39" t="s">
        <v>364</v>
      </c>
      <c r="AJ135" s="41" t="s">
        <v>362</v>
      </c>
      <c r="AL135" s="42" t="s">
        <v>53</v>
      </c>
      <c r="AP135" s="43" t="str">
        <f t="shared" si="1"/>
        <v>REALIZADO</v>
      </c>
      <c r="AV135" s="44" t="s">
        <v>46</v>
      </c>
      <c r="AW135" s="45"/>
      <c r="AX135" s="35"/>
    </row>
    <row r="136" hidden="1">
      <c r="A136" s="24"/>
      <c r="B136" s="36" t="s">
        <v>41</v>
      </c>
      <c r="C136" s="37">
        <v>45609.0</v>
      </c>
      <c r="F136" s="38">
        <v>0.875</v>
      </c>
      <c r="I136" s="39" t="s">
        <v>365</v>
      </c>
      <c r="S136" s="39" t="s">
        <v>185</v>
      </c>
      <c r="AE136" s="40">
        <v>0.003472222222222222</v>
      </c>
      <c r="AG136" s="39" t="s">
        <v>44</v>
      </c>
      <c r="AJ136" s="41" t="s">
        <v>44</v>
      </c>
      <c r="AL136" s="42" t="s">
        <v>45</v>
      </c>
      <c r="AP136" s="43" t="str">
        <f t="shared" si="1"/>
        <v>ABORTIVA</v>
      </c>
      <c r="AV136" s="44" t="s">
        <v>69</v>
      </c>
      <c r="AW136" s="45"/>
      <c r="AX136" s="35"/>
    </row>
    <row r="137" hidden="1">
      <c r="A137" s="24"/>
      <c r="B137" s="36" t="s">
        <v>41</v>
      </c>
      <c r="C137" s="37">
        <v>45609.0</v>
      </c>
      <c r="F137" s="38">
        <v>0.8645833333333334</v>
      </c>
      <c r="I137" s="39" t="s">
        <v>366</v>
      </c>
      <c r="S137" s="39" t="s">
        <v>185</v>
      </c>
      <c r="AE137" s="40">
        <v>0.003472222222222222</v>
      </c>
      <c r="AG137" s="46" t="s">
        <v>44</v>
      </c>
      <c r="AJ137" s="41" t="s">
        <v>44</v>
      </c>
      <c r="AL137" s="42" t="s">
        <v>68</v>
      </c>
      <c r="AP137" s="43" t="str">
        <f t="shared" si="1"/>
        <v>REALIZADO</v>
      </c>
      <c r="AV137" s="44" t="s">
        <v>46</v>
      </c>
      <c r="AW137" s="45"/>
      <c r="AX137" s="35"/>
    </row>
    <row r="138" hidden="1">
      <c r="A138" s="24"/>
      <c r="B138" s="36" t="s">
        <v>41</v>
      </c>
      <c r="C138" s="37">
        <v>45609.0</v>
      </c>
      <c r="F138" s="38">
        <v>0.875</v>
      </c>
      <c r="I138" s="39" t="s">
        <v>367</v>
      </c>
      <c r="S138" s="39" t="s">
        <v>185</v>
      </c>
      <c r="AE138" s="40">
        <v>0.003472222222222222</v>
      </c>
      <c r="AG138" s="46" t="s">
        <v>44</v>
      </c>
      <c r="AJ138" s="41" t="s">
        <v>44</v>
      </c>
      <c r="AL138" s="42" t="s">
        <v>68</v>
      </c>
      <c r="AP138" s="43" t="str">
        <f t="shared" si="1"/>
        <v>REALIZADO</v>
      </c>
      <c r="AV138" s="44" t="s">
        <v>46</v>
      </c>
      <c r="AW138" s="45"/>
      <c r="AX138" s="35"/>
    </row>
    <row r="139" hidden="1">
      <c r="A139" s="24"/>
      <c r="B139" s="36" t="s">
        <v>34</v>
      </c>
      <c r="C139" s="37">
        <v>45610.0</v>
      </c>
      <c r="F139" s="38">
        <v>0.7916666666666666</v>
      </c>
      <c r="I139" s="39" t="s">
        <v>368</v>
      </c>
      <c r="S139" s="39" t="s">
        <v>270</v>
      </c>
      <c r="AE139" s="40">
        <v>0.08333333333333333</v>
      </c>
      <c r="AG139" s="39" t="s">
        <v>369</v>
      </c>
      <c r="AJ139" s="41" t="s">
        <v>370</v>
      </c>
      <c r="AL139" s="42" t="s">
        <v>45</v>
      </c>
      <c r="AP139" s="43" t="str">
        <f t="shared" si="1"/>
        <v>REALIZADO</v>
      </c>
      <c r="AV139" s="44" t="s">
        <v>46</v>
      </c>
      <c r="AW139" s="45"/>
      <c r="AX139" s="35"/>
    </row>
    <row r="140" hidden="1">
      <c r="A140" s="24"/>
      <c r="B140" s="36" t="s">
        <v>41</v>
      </c>
      <c r="C140" s="37">
        <v>45611.0</v>
      </c>
      <c r="F140" s="38">
        <v>0.3541666666666667</v>
      </c>
      <c r="I140" s="39" t="s">
        <v>371</v>
      </c>
      <c r="S140" s="39" t="s">
        <v>233</v>
      </c>
      <c r="AE140" s="40">
        <v>0.0625</v>
      </c>
      <c r="AG140" s="39" t="s">
        <v>44</v>
      </c>
      <c r="AJ140" s="41" t="s">
        <v>44</v>
      </c>
      <c r="AL140" s="42" t="s">
        <v>45</v>
      </c>
      <c r="AP140" s="43" t="str">
        <f t="shared" si="1"/>
        <v>ABORTIVA</v>
      </c>
      <c r="AV140" s="44" t="s">
        <v>69</v>
      </c>
      <c r="AW140" s="45"/>
      <c r="AX140" s="35"/>
    </row>
    <row r="141" hidden="1">
      <c r="A141" s="24"/>
      <c r="B141" s="36" t="s">
        <v>34</v>
      </c>
      <c r="C141" s="37">
        <v>45611.0</v>
      </c>
      <c r="F141" s="38">
        <v>0.4375</v>
      </c>
      <c r="I141" s="39"/>
      <c r="S141" s="39" t="s">
        <v>372</v>
      </c>
      <c r="AE141" s="40">
        <v>0.16666666666666666</v>
      </c>
      <c r="AG141" s="39" t="s">
        <v>369</v>
      </c>
      <c r="AJ141" s="41" t="s">
        <v>44</v>
      </c>
      <c r="AL141" s="42" t="s">
        <v>45</v>
      </c>
      <c r="AP141" s="43" t="str">
        <f t="shared" si="1"/>
        <v>ABORTIVA</v>
      </c>
      <c r="AV141" s="44" t="s">
        <v>69</v>
      </c>
      <c r="AW141" s="45"/>
      <c r="AX141" s="35"/>
    </row>
    <row r="142" hidden="1">
      <c r="A142" s="24"/>
      <c r="B142" s="36" t="s">
        <v>34</v>
      </c>
      <c r="C142" s="37">
        <v>45611.0</v>
      </c>
      <c r="F142" s="38">
        <v>0.4375</v>
      </c>
      <c r="I142" s="39" t="s">
        <v>373</v>
      </c>
      <c r="S142" s="39" t="s">
        <v>372</v>
      </c>
      <c r="AE142" s="40">
        <v>0.125</v>
      </c>
      <c r="AG142" s="39" t="s">
        <v>374</v>
      </c>
      <c r="AJ142" s="41" t="s">
        <v>375</v>
      </c>
      <c r="AL142" s="42" t="s">
        <v>68</v>
      </c>
      <c r="AP142" s="43" t="str">
        <f t="shared" si="1"/>
        <v>REALIZADO</v>
      </c>
      <c r="AV142" s="44" t="s">
        <v>46</v>
      </c>
      <c r="AW142" s="45"/>
      <c r="AX142" s="35"/>
    </row>
    <row r="143" hidden="1">
      <c r="A143" s="24"/>
      <c r="B143" s="36" t="s">
        <v>34</v>
      </c>
      <c r="C143" s="37">
        <v>45611.0</v>
      </c>
      <c r="F143" s="38">
        <v>0.5625</v>
      </c>
      <c r="I143" s="39" t="s">
        <v>376</v>
      </c>
      <c r="S143" s="39" t="s">
        <v>377</v>
      </c>
      <c r="AE143" s="40">
        <v>0.3888888888888889</v>
      </c>
      <c r="AG143" s="39" t="s">
        <v>378</v>
      </c>
      <c r="AJ143" s="41" t="s">
        <v>379</v>
      </c>
      <c r="AL143" s="42" t="s">
        <v>45</v>
      </c>
      <c r="AP143" s="43" t="str">
        <f t="shared" si="1"/>
        <v>REALIZADO</v>
      </c>
      <c r="AV143" s="44" t="s">
        <v>46</v>
      </c>
      <c r="AW143" s="45"/>
      <c r="AX143" s="35"/>
    </row>
    <row r="144" hidden="1">
      <c r="A144" s="24"/>
      <c r="B144" s="36" t="s">
        <v>34</v>
      </c>
      <c r="C144" s="37">
        <v>45612.0</v>
      </c>
      <c r="F144" s="38">
        <v>0.6631944444444444</v>
      </c>
      <c r="I144" s="39" t="s">
        <v>352</v>
      </c>
      <c r="S144" s="39" t="s">
        <v>380</v>
      </c>
      <c r="AE144" s="40">
        <v>0.06944444444444445</v>
      </c>
      <c r="AG144" s="39" t="s">
        <v>381</v>
      </c>
      <c r="AJ144" s="41" t="s">
        <v>382</v>
      </c>
      <c r="AL144" s="42" t="s">
        <v>53</v>
      </c>
      <c r="AP144" s="43" t="str">
        <f t="shared" si="1"/>
        <v>REALIZADO</v>
      </c>
      <c r="AV144" s="44" t="s">
        <v>46</v>
      </c>
      <c r="AW144" s="45"/>
      <c r="AX144" s="35"/>
    </row>
    <row r="145" hidden="1">
      <c r="A145" s="24"/>
      <c r="B145" s="36" t="s">
        <v>34</v>
      </c>
      <c r="C145" s="37">
        <v>45613.0</v>
      </c>
      <c r="F145" s="38">
        <v>0.5</v>
      </c>
      <c r="I145" s="39"/>
      <c r="S145" s="39" t="s">
        <v>383</v>
      </c>
      <c r="AE145" s="40">
        <v>0.6041666666666666</v>
      </c>
      <c r="AG145" s="39" t="s">
        <v>384</v>
      </c>
      <c r="AJ145" s="41"/>
      <c r="AL145" s="42" t="s">
        <v>45</v>
      </c>
      <c r="AP145" s="43" t="str">
        <f t="shared" si="1"/>
        <v>ABORTIVA</v>
      </c>
      <c r="AV145" s="44" t="s">
        <v>69</v>
      </c>
      <c r="AW145" s="45"/>
      <c r="AX145" s="35"/>
    </row>
    <row r="146" hidden="1">
      <c r="A146" s="24"/>
      <c r="B146" s="36" t="s">
        <v>34</v>
      </c>
      <c r="C146" s="37">
        <v>45613.0</v>
      </c>
      <c r="F146" s="38">
        <v>0.09722222222222222</v>
      </c>
      <c r="I146" s="39" t="s">
        <v>385</v>
      </c>
      <c r="S146" s="39" t="s">
        <v>386</v>
      </c>
      <c r="AE146" s="40">
        <v>0.21180555555555555</v>
      </c>
      <c r="AG146" s="39" t="s">
        <v>387</v>
      </c>
      <c r="AJ146" s="41" t="s">
        <v>388</v>
      </c>
      <c r="AL146" s="42" t="s">
        <v>68</v>
      </c>
      <c r="AP146" s="43" t="str">
        <f t="shared" si="1"/>
        <v>REALIZADO</v>
      </c>
      <c r="AV146" s="44" t="s">
        <v>46</v>
      </c>
      <c r="AW146" s="45"/>
      <c r="AX146" s="35"/>
    </row>
    <row r="147" hidden="1">
      <c r="A147" s="24"/>
      <c r="B147" s="36" t="s">
        <v>34</v>
      </c>
      <c r="C147" s="37">
        <v>45613.0</v>
      </c>
      <c r="F147" s="38">
        <v>0.5</v>
      </c>
      <c r="I147" s="39" t="s">
        <v>389</v>
      </c>
      <c r="S147" s="39" t="s">
        <v>390</v>
      </c>
      <c r="AE147" s="40">
        <v>0.6041666666666666</v>
      </c>
      <c r="AG147" s="39" t="s">
        <v>391</v>
      </c>
      <c r="AJ147" s="41" t="s">
        <v>392</v>
      </c>
      <c r="AL147" s="42" t="s">
        <v>68</v>
      </c>
      <c r="AP147" s="43" t="str">
        <f t="shared" si="1"/>
        <v>REALIZADO</v>
      </c>
      <c r="AV147" s="44" t="s">
        <v>46</v>
      </c>
      <c r="AW147" s="45"/>
      <c r="AX147" s="35"/>
    </row>
    <row r="148" hidden="1">
      <c r="A148" s="24"/>
      <c r="B148" s="48" t="s">
        <v>34</v>
      </c>
      <c r="C148" s="37">
        <v>45614.0</v>
      </c>
      <c r="F148" s="49">
        <v>0.9583333333333334</v>
      </c>
      <c r="I148" s="39" t="s">
        <v>352</v>
      </c>
      <c r="S148" s="50" t="s">
        <v>393</v>
      </c>
      <c r="AE148" s="51">
        <v>0.2013888888888889</v>
      </c>
      <c r="AG148" s="50" t="s">
        <v>394</v>
      </c>
      <c r="AJ148" s="52" t="s">
        <v>395</v>
      </c>
      <c r="AL148" s="53" t="s">
        <v>53</v>
      </c>
      <c r="AP148" s="54" t="str">
        <f t="shared" si="1"/>
        <v>REALIZADO</v>
      </c>
      <c r="AV148" s="44" t="s">
        <v>46</v>
      </c>
      <c r="AW148" s="45"/>
      <c r="AX148" s="35"/>
    </row>
    <row r="149" hidden="1">
      <c r="A149" s="24"/>
      <c r="B149" s="36" t="s">
        <v>34</v>
      </c>
      <c r="C149" s="37">
        <v>45615.0</v>
      </c>
      <c r="F149" s="38">
        <v>0.4583333333333333</v>
      </c>
      <c r="I149" s="39" t="s">
        <v>396</v>
      </c>
      <c r="S149" s="39" t="s">
        <v>397</v>
      </c>
      <c r="AE149" s="40">
        <v>0.21875</v>
      </c>
      <c r="AG149" s="39" t="s">
        <v>398</v>
      </c>
      <c r="AJ149" s="41" t="s">
        <v>399</v>
      </c>
      <c r="AL149" s="42" t="s">
        <v>68</v>
      </c>
      <c r="AP149" s="43" t="str">
        <f t="shared" si="1"/>
        <v>REALIZADO</v>
      </c>
      <c r="AV149" s="44" t="s">
        <v>46</v>
      </c>
      <c r="AW149" s="45"/>
      <c r="AX149" s="35"/>
    </row>
    <row r="150" hidden="1">
      <c r="A150" s="24"/>
      <c r="B150" s="36" t="s">
        <v>34</v>
      </c>
      <c r="C150" s="37">
        <v>45615.0</v>
      </c>
      <c r="F150" s="38">
        <v>0.4583333333333333</v>
      </c>
      <c r="I150" s="39" t="s">
        <v>400</v>
      </c>
      <c r="S150" s="39" t="s">
        <v>401</v>
      </c>
      <c r="AE150" s="40">
        <v>0.4027777777777778</v>
      </c>
      <c r="AG150" s="39" t="s">
        <v>394</v>
      </c>
      <c r="AJ150" s="41" t="s">
        <v>395</v>
      </c>
      <c r="AL150" s="42" t="s">
        <v>53</v>
      </c>
      <c r="AP150" s="43" t="str">
        <f t="shared" si="1"/>
        <v>REALIZADO</v>
      </c>
      <c r="AV150" s="44" t="s">
        <v>46</v>
      </c>
      <c r="AW150" s="45"/>
      <c r="AX150" s="35"/>
    </row>
    <row r="151" hidden="1">
      <c r="A151" s="24"/>
      <c r="B151" s="36" t="s">
        <v>34</v>
      </c>
      <c r="C151" s="37">
        <v>45616.0</v>
      </c>
      <c r="F151" s="38">
        <v>0.4583333333333333</v>
      </c>
      <c r="I151" s="39" t="s">
        <v>402</v>
      </c>
      <c r="S151" s="39" t="s">
        <v>403</v>
      </c>
      <c r="AE151" s="40">
        <v>0.2569444444444444</v>
      </c>
      <c r="AG151" s="39" t="s">
        <v>404</v>
      </c>
      <c r="AJ151" s="41" t="s">
        <v>405</v>
      </c>
      <c r="AL151" s="42" t="s">
        <v>82</v>
      </c>
      <c r="AP151" s="43" t="str">
        <f t="shared" si="1"/>
        <v>REALIZADO</v>
      </c>
      <c r="AV151" s="44" t="s">
        <v>46</v>
      </c>
      <c r="AW151" s="45"/>
      <c r="AX151" s="35"/>
    </row>
    <row r="152" hidden="1">
      <c r="A152" s="24"/>
      <c r="B152" s="36" t="s">
        <v>34</v>
      </c>
      <c r="C152" s="37">
        <v>45622.0</v>
      </c>
      <c r="F152" s="38">
        <v>0.7083333333333334</v>
      </c>
      <c r="I152" s="39" t="s">
        <v>406</v>
      </c>
      <c r="S152" s="39" t="s">
        <v>407</v>
      </c>
      <c r="AE152" s="40">
        <v>0.2534722222222222</v>
      </c>
      <c r="AG152" s="39" t="s">
        <v>408</v>
      </c>
      <c r="AJ152" s="41" t="s">
        <v>409</v>
      </c>
      <c r="AL152" s="42" t="s">
        <v>82</v>
      </c>
      <c r="AP152" s="43" t="str">
        <f t="shared" si="1"/>
        <v>REALIZADO</v>
      </c>
      <c r="AV152" s="44" t="s">
        <v>46</v>
      </c>
      <c r="AW152" s="45"/>
      <c r="AX152" s="35"/>
    </row>
    <row r="153" hidden="1">
      <c r="A153" s="24"/>
      <c r="B153" s="36" t="s">
        <v>41</v>
      </c>
      <c r="C153" s="37">
        <v>45624.0</v>
      </c>
      <c r="F153" s="38">
        <v>0.625</v>
      </c>
      <c r="I153" s="39" t="s">
        <v>410</v>
      </c>
      <c r="S153" s="39" t="s">
        <v>67</v>
      </c>
      <c r="AE153" s="40">
        <v>0.041666666666666664</v>
      </c>
      <c r="AG153" s="46" t="s">
        <v>44</v>
      </c>
      <c r="AJ153" s="47" t="s">
        <v>44</v>
      </c>
      <c r="AL153" s="42" t="s">
        <v>45</v>
      </c>
      <c r="AP153" s="43" t="str">
        <f t="shared" si="1"/>
        <v>REALIZADO</v>
      </c>
      <c r="AV153" s="44" t="s">
        <v>46</v>
      </c>
      <c r="AW153" s="45"/>
      <c r="AX153" s="35"/>
    </row>
    <row r="154" hidden="1">
      <c r="A154" s="24"/>
      <c r="B154" s="36" t="s">
        <v>41</v>
      </c>
      <c r="C154" s="37">
        <v>45624.0</v>
      </c>
      <c r="F154" s="38">
        <v>0.7291666666666666</v>
      </c>
      <c r="I154" s="39" t="s">
        <v>411</v>
      </c>
      <c r="S154" s="39" t="s">
        <v>412</v>
      </c>
      <c r="AE154" s="40">
        <v>0.041666666666666664</v>
      </c>
      <c r="AG154" s="46" t="s">
        <v>44</v>
      </c>
      <c r="AJ154" s="47" t="s">
        <v>44</v>
      </c>
      <c r="AL154" s="42" t="s">
        <v>45</v>
      </c>
      <c r="AP154" s="43" t="str">
        <f t="shared" si="1"/>
        <v>REALIZADO</v>
      </c>
      <c r="AV154" s="44" t="s">
        <v>46</v>
      </c>
      <c r="AW154" s="45"/>
      <c r="AX154" s="35"/>
    </row>
    <row r="155" hidden="1">
      <c r="A155" s="24"/>
      <c r="B155" s="36" t="s">
        <v>41</v>
      </c>
      <c r="C155" s="37">
        <v>45624.0</v>
      </c>
      <c r="F155" s="38">
        <v>0.4583333333333333</v>
      </c>
      <c r="I155" s="39" t="s">
        <v>413</v>
      </c>
      <c r="S155" s="39" t="s">
        <v>414</v>
      </c>
      <c r="AE155" s="40">
        <v>0.08333333333333333</v>
      </c>
      <c r="AG155" s="46" t="s">
        <v>44</v>
      </c>
      <c r="AJ155" s="47" t="s">
        <v>44</v>
      </c>
      <c r="AL155" s="42" t="s">
        <v>414</v>
      </c>
      <c r="AP155" s="43" t="str">
        <f t="shared" si="1"/>
        <v>REALIZADO</v>
      </c>
      <c r="AV155" s="44" t="s">
        <v>46</v>
      </c>
      <c r="AW155" s="45"/>
      <c r="AX155" s="35"/>
    </row>
    <row r="156" hidden="1">
      <c r="A156" s="24"/>
      <c r="B156" s="36" t="s">
        <v>41</v>
      </c>
      <c r="C156" s="37">
        <v>45625.0</v>
      </c>
      <c r="F156" s="38">
        <v>0.5</v>
      </c>
      <c r="I156" s="39" t="s">
        <v>415</v>
      </c>
      <c r="S156" s="39" t="s">
        <v>233</v>
      </c>
      <c r="AE156" s="40">
        <v>0.041666666666666664</v>
      </c>
      <c r="AG156" s="39" t="s">
        <v>416</v>
      </c>
      <c r="AJ156" s="47" t="s">
        <v>44</v>
      </c>
      <c r="AL156" s="42" t="s">
        <v>45</v>
      </c>
      <c r="AP156" s="43" t="str">
        <f t="shared" si="1"/>
        <v>REALIZADO</v>
      </c>
      <c r="AV156" s="44" t="s">
        <v>46</v>
      </c>
      <c r="AW156" s="45"/>
      <c r="AX156" s="35"/>
    </row>
    <row r="157" hidden="1">
      <c r="A157" s="24"/>
      <c r="B157" s="36" t="s">
        <v>34</v>
      </c>
      <c r="C157" s="37">
        <v>45626.0</v>
      </c>
      <c r="F157" s="38">
        <v>0.4583333333333333</v>
      </c>
      <c r="I157" s="39" t="s">
        <v>417</v>
      </c>
      <c r="S157" s="39" t="s">
        <v>418</v>
      </c>
      <c r="AE157" s="40">
        <v>0.4027777777777778</v>
      </c>
      <c r="AG157" s="39" t="s">
        <v>419</v>
      </c>
      <c r="AJ157" s="41" t="s">
        <v>420</v>
      </c>
      <c r="AL157" s="42" t="s">
        <v>45</v>
      </c>
      <c r="AP157" s="43" t="s">
        <v>421</v>
      </c>
      <c r="AV157" s="44" t="s">
        <v>46</v>
      </c>
      <c r="AW157" s="45"/>
      <c r="AX157" s="35"/>
    </row>
    <row r="158" hidden="1">
      <c r="A158" s="24"/>
      <c r="B158" s="36" t="s">
        <v>41</v>
      </c>
      <c r="C158" s="37">
        <v>45629.0</v>
      </c>
      <c r="F158" s="38">
        <v>0.5208333333333334</v>
      </c>
      <c r="I158" s="39" t="s">
        <v>422</v>
      </c>
      <c r="S158" s="39" t="s">
        <v>66</v>
      </c>
      <c r="AE158" s="40">
        <v>0.041666666666666664</v>
      </c>
      <c r="AG158" s="39" t="s">
        <v>67</v>
      </c>
      <c r="AJ158" s="47" t="s">
        <v>44</v>
      </c>
      <c r="AL158" s="42" t="s">
        <v>68</v>
      </c>
      <c r="AP158" s="43" t="str">
        <f t="shared" ref="AP158:AP287" si="2">IF(C158="","",
IF(AG158="","AGD OFRAG",
IF(AND(AG158&lt;&gt;"",AV158=""),"PROGRAMADA",
IF(AND(AG158&lt;&gt;"",AV158="ARR"),"REALIZADO",
IF(AND(AG158&lt;&gt;"",OR(AV158="SMAT",AV158="SMET",AV158="SOSP",AV158="VMAT",AV158="VMET",AV158="VOSP")),"ABORTIVA",
IF(AND(AG158&lt;&gt;"",AV158&lt;&gt;""),"EM EXECUÇÃO"))))))</f>
        <v>REALIZADO</v>
      </c>
      <c r="AV158" s="44" t="s">
        <v>46</v>
      </c>
      <c r="AW158" s="45"/>
      <c r="AX158" s="35"/>
    </row>
    <row r="159" hidden="1">
      <c r="A159" s="24"/>
      <c r="B159" s="36" t="s">
        <v>41</v>
      </c>
      <c r="C159" s="37">
        <v>45629.0</v>
      </c>
      <c r="F159" s="38">
        <v>0.75</v>
      </c>
      <c r="I159" s="39" t="s">
        <v>423</v>
      </c>
      <c r="S159" s="39" t="s">
        <v>66</v>
      </c>
      <c r="AE159" s="40">
        <v>0.041666666666666664</v>
      </c>
      <c r="AG159" s="39" t="s">
        <v>67</v>
      </c>
      <c r="AJ159" s="47" t="s">
        <v>44</v>
      </c>
      <c r="AL159" s="42" t="s">
        <v>45</v>
      </c>
      <c r="AP159" s="43" t="str">
        <f t="shared" si="2"/>
        <v>REALIZADO</v>
      </c>
      <c r="AV159" s="44" t="s">
        <v>46</v>
      </c>
      <c r="AW159" s="45"/>
      <c r="AX159" s="35"/>
    </row>
    <row r="160" hidden="1">
      <c r="A160" s="24"/>
      <c r="B160" s="36" t="s">
        <v>41</v>
      </c>
      <c r="C160" s="37">
        <v>45630.0</v>
      </c>
      <c r="F160" s="38">
        <v>0.5</v>
      </c>
      <c r="I160" s="39" t="s">
        <v>424</v>
      </c>
      <c r="S160" s="39" t="s">
        <v>414</v>
      </c>
      <c r="AE160" s="40">
        <v>0.08333333333333333</v>
      </c>
      <c r="AG160" s="39" t="s">
        <v>44</v>
      </c>
      <c r="AJ160" s="41" t="s">
        <v>44</v>
      </c>
      <c r="AL160" s="42" t="s">
        <v>414</v>
      </c>
      <c r="AP160" s="43" t="str">
        <f t="shared" si="2"/>
        <v>REALIZADO</v>
      </c>
      <c r="AV160" s="44" t="s">
        <v>46</v>
      </c>
      <c r="AW160" s="45"/>
      <c r="AX160" s="35"/>
    </row>
    <row r="161" hidden="1">
      <c r="A161" s="24"/>
      <c r="B161" s="36" t="s">
        <v>41</v>
      </c>
      <c r="C161" s="37">
        <v>45630.0</v>
      </c>
      <c r="F161" s="38">
        <v>0.5</v>
      </c>
      <c r="I161" s="39" t="s">
        <v>425</v>
      </c>
      <c r="S161" s="39" t="s">
        <v>185</v>
      </c>
      <c r="AE161" s="40">
        <v>0.003472222222222222</v>
      </c>
      <c r="AG161" s="39" t="s">
        <v>44</v>
      </c>
      <c r="AJ161" s="41" t="s">
        <v>44</v>
      </c>
      <c r="AL161" s="42" t="s">
        <v>45</v>
      </c>
      <c r="AP161" s="43" t="str">
        <f t="shared" si="2"/>
        <v>REALIZADO</v>
      </c>
      <c r="AV161" s="44" t="s">
        <v>46</v>
      </c>
      <c r="AW161" s="45"/>
      <c r="AX161" s="35"/>
    </row>
    <row r="162" hidden="1">
      <c r="A162" s="24"/>
      <c r="B162" s="36" t="s">
        <v>41</v>
      </c>
      <c r="C162" s="37">
        <v>45630.0</v>
      </c>
      <c r="F162" s="38">
        <v>0.7083333333333334</v>
      </c>
      <c r="I162" s="39" t="s">
        <v>426</v>
      </c>
      <c r="S162" s="39" t="s">
        <v>268</v>
      </c>
      <c r="AE162" s="40">
        <v>0.0625</v>
      </c>
      <c r="AG162" s="39" t="s">
        <v>76</v>
      </c>
      <c r="AJ162" s="41" t="s">
        <v>44</v>
      </c>
      <c r="AL162" s="42" t="s">
        <v>45</v>
      </c>
      <c r="AP162" s="43" t="str">
        <f t="shared" si="2"/>
        <v>REALIZADO</v>
      </c>
      <c r="AV162" s="44" t="s">
        <v>46</v>
      </c>
      <c r="AW162" s="45"/>
      <c r="AX162" s="35"/>
    </row>
    <row r="163" hidden="1">
      <c r="A163" s="24"/>
      <c r="B163" s="36" t="s">
        <v>34</v>
      </c>
      <c r="C163" s="37">
        <v>45631.0</v>
      </c>
      <c r="F163" s="38">
        <v>0.08333333333333333</v>
      </c>
      <c r="I163" s="39" t="s">
        <v>427</v>
      </c>
      <c r="S163" s="39" t="s">
        <v>357</v>
      </c>
      <c r="AE163" s="40">
        <v>0.2777777777777778</v>
      </c>
      <c r="AG163" s="39" t="s">
        <v>428</v>
      </c>
      <c r="AJ163" s="41" t="s">
        <v>429</v>
      </c>
      <c r="AL163" s="42" t="s">
        <v>45</v>
      </c>
      <c r="AP163" s="43" t="str">
        <f t="shared" si="2"/>
        <v>REALIZADO</v>
      </c>
      <c r="AV163" s="44" t="s">
        <v>46</v>
      </c>
      <c r="AW163" s="45"/>
      <c r="AX163" s="35"/>
    </row>
    <row r="164" hidden="1">
      <c r="A164" s="24"/>
      <c r="B164" s="36" t="s">
        <v>41</v>
      </c>
      <c r="C164" s="37">
        <v>45631.0</v>
      </c>
      <c r="F164" s="38">
        <v>0.5416666666666666</v>
      </c>
      <c r="I164" s="39" t="s">
        <v>430</v>
      </c>
      <c r="S164" s="39" t="s">
        <v>268</v>
      </c>
      <c r="AE164" s="40">
        <v>0.041666666666666664</v>
      </c>
      <c r="AG164" s="39" t="s">
        <v>76</v>
      </c>
      <c r="AJ164" s="41" t="s">
        <v>44</v>
      </c>
      <c r="AL164" s="42" t="s">
        <v>68</v>
      </c>
      <c r="AP164" s="43" t="str">
        <f t="shared" si="2"/>
        <v>REALIZADO</v>
      </c>
      <c r="AV164" s="44" t="s">
        <v>46</v>
      </c>
      <c r="AW164" s="45"/>
      <c r="AX164" s="35"/>
    </row>
    <row r="165" hidden="1">
      <c r="A165" s="24"/>
      <c r="B165" s="36" t="s">
        <v>34</v>
      </c>
      <c r="C165" s="37">
        <v>45631.0</v>
      </c>
      <c r="F165" s="38">
        <v>0.6666666666666666</v>
      </c>
      <c r="I165" s="39" t="s">
        <v>431</v>
      </c>
      <c r="S165" s="39" t="s">
        <v>432</v>
      </c>
      <c r="AE165" s="40">
        <v>0.2152777777777778</v>
      </c>
      <c r="AG165" s="39" t="s">
        <v>44</v>
      </c>
      <c r="AJ165" s="41" t="s">
        <v>433</v>
      </c>
      <c r="AL165" s="42" t="s">
        <v>68</v>
      </c>
      <c r="AP165" s="43" t="str">
        <f t="shared" si="2"/>
        <v>REALIZADO</v>
      </c>
      <c r="AV165" s="44" t="s">
        <v>46</v>
      </c>
      <c r="AW165" s="45"/>
      <c r="AX165" s="35"/>
    </row>
    <row r="166" hidden="1">
      <c r="A166" s="24"/>
      <c r="B166" s="36" t="s">
        <v>41</v>
      </c>
      <c r="C166" s="37">
        <v>45631.0</v>
      </c>
      <c r="F166" s="38">
        <v>0.7083333333333334</v>
      </c>
      <c r="I166" s="39" t="s">
        <v>434</v>
      </c>
      <c r="S166" s="39" t="s">
        <v>233</v>
      </c>
      <c r="AE166" s="40">
        <v>0.0625</v>
      </c>
      <c r="AG166" s="39" t="s">
        <v>206</v>
      </c>
      <c r="AJ166" s="41" t="s">
        <v>44</v>
      </c>
      <c r="AL166" s="42" t="s">
        <v>53</v>
      </c>
      <c r="AP166" s="43" t="str">
        <f t="shared" si="2"/>
        <v>ABORTIVA</v>
      </c>
      <c r="AV166" s="44" t="s">
        <v>69</v>
      </c>
      <c r="AW166" s="45"/>
      <c r="AX166" s="35"/>
    </row>
    <row r="167" hidden="1">
      <c r="A167" s="24"/>
      <c r="B167" s="36" t="s">
        <v>41</v>
      </c>
      <c r="C167" s="37">
        <v>45631.0</v>
      </c>
      <c r="F167" s="38">
        <v>0.8541666666666666</v>
      </c>
      <c r="I167" s="39" t="s">
        <v>435</v>
      </c>
      <c r="S167" s="39" t="s">
        <v>268</v>
      </c>
      <c r="AE167" s="40">
        <v>0.041666666666666664</v>
      </c>
      <c r="AG167" s="39" t="s">
        <v>206</v>
      </c>
      <c r="AJ167" s="41" t="s">
        <v>44</v>
      </c>
      <c r="AL167" s="42" t="s">
        <v>53</v>
      </c>
      <c r="AP167" s="43" t="str">
        <f t="shared" si="2"/>
        <v>ABORTIVA</v>
      </c>
      <c r="AV167" s="44" t="s">
        <v>69</v>
      </c>
      <c r="AW167" s="45"/>
      <c r="AX167" s="35"/>
    </row>
    <row r="168" hidden="1">
      <c r="A168" s="24"/>
      <c r="B168" s="36" t="s">
        <v>41</v>
      </c>
      <c r="C168" s="37">
        <v>45632.0</v>
      </c>
      <c r="F168" s="38">
        <v>0.5</v>
      </c>
      <c r="I168" s="39" t="s">
        <v>436</v>
      </c>
      <c r="S168" s="39" t="s">
        <v>233</v>
      </c>
      <c r="AE168" s="40">
        <v>0.041666666666666664</v>
      </c>
      <c r="AG168" s="39" t="s">
        <v>206</v>
      </c>
      <c r="AJ168" s="41" t="s">
        <v>44</v>
      </c>
      <c r="AL168" s="42" t="s">
        <v>45</v>
      </c>
      <c r="AP168" s="43" t="str">
        <f t="shared" si="2"/>
        <v>REALIZADO</v>
      </c>
      <c r="AV168" s="44" t="s">
        <v>46</v>
      </c>
      <c r="AW168" s="45"/>
      <c r="AX168" s="35"/>
    </row>
    <row r="169" hidden="1">
      <c r="A169" s="24"/>
      <c r="B169" s="36" t="s">
        <v>34</v>
      </c>
      <c r="C169" s="37">
        <v>45632.0</v>
      </c>
      <c r="F169" s="38">
        <v>0.5</v>
      </c>
      <c r="I169" s="39" t="s">
        <v>437</v>
      </c>
      <c r="S169" s="39" t="s">
        <v>78</v>
      </c>
      <c r="AE169" s="40">
        <v>0.14930555555555555</v>
      </c>
      <c r="AG169" s="39" t="s">
        <v>438</v>
      </c>
      <c r="AJ169" s="41" t="s">
        <v>439</v>
      </c>
      <c r="AL169" s="42" t="s">
        <v>68</v>
      </c>
      <c r="AP169" s="43" t="str">
        <f t="shared" si="2"/>
        <v>REALIZADO</v>
      </c>
      <c r="AV169" s="44" t="s">
        <v>46</v>
      </c>
      <c r="AW169" s="45"/>
      <c r="AX169" s="35"/>
    </row>
    <row r="170" hidden="1">
      <c r="A170" s="24"/>
      <c r="B170" s="36" t="s">
        <v>41</v>
      </c>
      <c r="C170" s="37">
        <v>45632.0</v>
      </c>
      <c r="F170" s="38">
        <v>0.5</v>
      </c>
      <c r="I170" s="39" t="s">
        <v>440</v>
      </c>
      <c r="S170" s="39" t="s">
        <v>441</v>
      </c>
      <c r="AE170" s="40">
        <v>0.10416666666666667</v>
      </c>
      <c r="AG170" s="39" t="s">
        <v>442</v>
      </c>
      <c r="AJ170" s="47" t="s">
        <v>44</v>
      </c>
      <c r="AL170" s="42" t="s">
        <v>53</v>
      </c>
      <c r="AP170" s="43" t="str">
        <f t="shared" si="2"/>
        <v>REALIZADO</v>
      </c>
      <c r="AV170" s="44" t="s">
        <v>46</v>
      </c>
      <c r="AW170" s="45"/>
      <c r="AX170" s="35"/>
    </row>
    <row r="171" hidden="1">
      <c r="A171" s="24"/>
      <c r="B171" s="36" t="s">
        <v>41</v>
      </c>
      <c r="C171" s="37">
        <v>45632.0</v>
      </c>
      <c r="F171" s="38">
        <v>0.5833333333333334</v>
      </c>
      <c r="I171" s="39" t="s">
        <v>443</v>
      </c>
      <c r="S171" s="39" t="s">
        <v>414</v>
      </c>
      <c r="AE171" s="40">
        <v>0.08333333333333333</v>
      </c>
      <c r="AG171" s="39" t="s">
        <v>44</v>
      </c>
      <c r="AJ171" s="41" t="s">
        <v>44</v>
      </c>
      <c r="AL171" s="42" t="s">
        <v>414</v>
      </c>
      <c r="AP171" s="43" t="str">
        <f t="shared" si="2"/>
        <v>ABORTIVA</v>
      </c>
      <c r="AV171" s="44" t="s">
        <v>57</v>
      </c>
      <c r="AW171" s="45"/>
      <c r="AX171" s="35"/>
    </row>
    <row r="172" hidden="1">
      <c r="A172" s="24"/>
      <c r="B172" s="36" t="s">
        <v>41</v>
      </c>
      <c r="C172" s="37">
        <v>45632.0</v>
      </c>
      <c r="F172" s="38">
        <v>0.8541666666666666</v>
      </c>
      <c r="I172" s="39" t="s">
        <v>444</v>
      </c>
      <c r="S172" s="39" t="s">
        <v>268</v>
      </c>
      <c r="AE172" s="40">
        <v>0.041666666666666664</v>
      </c>
      <c r="AG172" s="39" t="s">
        <v>206</v>
      </c>
      <c r="AJ172" s="41" t="s">
        <v>44</v>
      </c>
      <c r="AL172" s="42" t="s">
        <v>45</v>
      </c>
      <c r="AP172" s="43" t="str">
        <f t="shared" si="2"/>
        <v>REALIZADO</v>
      </c>
      <c r="AV172" s="44" t="s">
        <v>46</v>
      </c>
      <c r="AW172" s="45"/>
      <c r="AX172" s="35"/>
    </row>
    <row r="173" hidden="1">
      <c r="A173" s="24"/>
      <c r="B173" s="36" t="s">
        <v>34</v>
      </c>
      <c r="C173" s="37">
        <v>45633.0</v>
      </c>
      <c r="F173" s="38">
        <v>0.4166666666666667</v>
      </c>
      <c r="I173" s="39" t="s">
        <v>373</v>
      </c>
      <c r="S173" s="39" t="s">
        <v>445</v>
      </c>
      <c r="AE173" s="40">
        <v>0.2569444444444444</v>
      </c>
      <c r="AG173" s="39" t="s">
        <v>446</v>
      </c>
      <c r="AJ173" s="41" t="s">
        <v>447</v>
      </c>
      <c r="AL173" s="42" t="s">
        <v>68</v>
      </c>
      <c r="AP173" s="43" t="str">
        <f t="shared" si="2"/>
        <v>REALIZADO</v>
      </c>
      <c r="AV173" s="44" t="s">
        <v>46</v>
      </c>
      <c r="AW173" s="45"/>
      <c r="AX173" s="35"/>
    </row>
    <row r="174" hidden="1">
      <c r="A174" s="24"/>
      <c r="B174" s="36" t="s">
        <v>34</v>
      </c>
      <c r="C174" s="37">
        <v>45633.0</v>
      </c>
      <c r="F174" s="38">
        <v>0.5</v>
      </c>
      <c r="I174" s="39" t="s">
        <v>448</v>
      </c>
      <c r="S174" s="39" t="s">
        <v>449</v>
      </c>
      <c r="AE174" s="40">
        <v>0.4479166666666667</v>
      </c>
      <c r="AG174" s="39" t="s">
        <v>450</v>
      </c>
      <c r="AJ174" s="41" t="s">
        <v>451</v>
      </c>
      <c r="AL174" s="42" t="s">
        <v>53</v>
      </c>
      <c r="AP174" s="43" t="str">
        <f t="shared" si="2"/>
        <v>REALIZADO</v>
      </c>
      <c r="AV174" s="44" t="s">
        <v>46</v>
      </c>
      <c r="AW174" s="45"/>
      <c r="AX174" s="35"/>
    </row>
    <row r="175" hidden="1">
      <c r="A175" s="24"/>
      <c r="B175" s="36" t="s">
        <v>34</v>
      </c>
      <c r="C175" s="37">
        <v>45634.0</v>
      </c>
      <c r="F175" s="38">
        <v>0.7916666666666666</v>
      </c>
      <c r="I175" s="39" t="s">
        <v>452</v>
      </c>
      <c r="S175" s="39" t="s">
        <v>453</v>
      </c>
      <c r="AE175" s="40">
        <v>0.8541666666666666</v>
      </c>
      <c r="AG175" s="39" t="s">
        <v>454</v>
      </c>
      <c r="AJ175" s="41" t="s">
        <v>455</v>
      </c>
      <c r="AL175" s="42" t="s">
        <v>45</v>
      </c>
      <c r="AP175" s="43" t="str">
        <f t="shared" si="2"/>
        <v>REALIZADO</v>
      </c>
      <c r="AV175" s="44" t="s">
        <v>46</v>
      </c>
      <c r="AW175" s="45"/>
      <c r="AX175" s="35"/>
    </row>
    <row r="176" hidden="1">
      <c r="A176" s="24"/>
      <c r="B176" s="36" t="s">
        <v>41</v>
      </c>
      <c r="C176" s="37">
        <v>45635.0</v>
      </c>
      <c r="F176" s="38">
        <v>0.8645833333333334</v>
      </c>
      <c r="I176" s="39" t="s">
        <v>456</v>
      </c>
      <c r="S176" s="39" t="s">
        <v>41</v>
      </c>
      <c r="AE176" s="55" t="s">
        <v>44</v>
      </c>
      <c r="AG176" s="46" t="s">
        <v>44</v>
      </c>
      <c r="AJ176" s="47" t="s">
        <v>44</v>
      </c>
      <c r="AL176" s="42" t="s">
        <v>53</v>
      </c>
      <c r="AP176" s="43" t="str">
        <f t="shared" si="2"/>
        <v>REALIZADO</v>
      </c>
      <c r="AV176" s="44" t="s">
        <v>46</v>
      </c>
      <c r="AW176" s="45"/>
      <c r="AX176" s="35"/>
    </row>
    <row r="177" hidden="1">
      <c r="A177" s="24"/>
      <c r="B177" s="36" t="s">
        <v>34</v>
      </c>
      <c r="C177" s="37">
        <v>45636.0</v>
      </c>
      <c r="F177" s="38">
        <v>0.5</v>
      </c>
      <c r="I177" s="39" t="s">
        <v>457</v>
      </c>
      <c r="S177" s="39" t="s">
        <v>458</v>
      </c>
      <c r="AE177" s="40">
        <v>0.3611111111111111</v>
      </c>
      <c r="AG177" s="39" t="s">
        <v>459</v>
      </c>
      <c r="AJ177" s="41" t="s">
        <v>460</v>
      </c>
      <c r="AL177" s="42" t="s">
        <v>53</v>
      </c>
      <c r="AP177" s="43" t="str">
        <f t="shared" si="2"/>
        <v>REALIZADO</v>
      </c>
      <c r="AV177" s="44" t="s">
        <v>46</v>
      </c>
      <c r="AW177" s="45"/>
      <c r="AX177" s="35"/>
    </row>
    <row r="178" hidden="1">
      <c r="A178" s="24"/>
      <c r="B178" s="36" t="s">
        <v>34</v>
      </c>
      <c r="C178" s="37">
        <v>45638.0</v>
      </c>
      <c r="F178" s="38">
        <v>0.375</v>
      </c>
      <c r="I178" s="39" t="s">
        <v>373</v>
      </c>
      <c r="S178" s="39" t="s">
        <v>461</v>
      </c>
      <c r="AE178" s="40">
        <v>0.28125</v>
      </c>
      <c r="AG178" s="39" t="s">
        <v>462</v>
      </c>
      <c r="AJ178" s="41" t="s">
        <v>447</v>
      </c>
      <c r="AL178" s="42" t="s">
        <v>68</v>
      </c>
      <c r="AP178" s="43" t="str">
        <f t="shared" si="2"/>
        <v>REALIZADO</v>
      </c>
      <c r="AV178" s="44" t="s">
        <v>46</v>
      </c>
      <c r="AW178" s="45"/>
      <c r="AX178" s="35"/>
    </row>
    <row r="179" hidden="1">
      <c r="A179" s="24"/>
      <c r="B179" s="36" t="s">
        <v>34</v>
      </c>
      <c r="C179" s="37">
        <v>45639.0</v>
      </c>
      <c r="F179" s="38">
        <v>0.5</v>
      </c>
      <c r="I179" s="39" t="s">
        <v>463</v>
      </c>
      <c r="S179" s="39" t="s">
        <v>464</v>
      </c>
      <c r="AE179" s="40">
        <v>0.14930555555555555</v>
      </c>
      <c r="AG179" s="39" t="s">
        <v>465</v>
      </c>
      <c r="AJ179" s="41" t="s">
        <v>466</v>
      </c>
      <c r="AL179" s="42" t="s">
        <v>68</v>
      </c>
      <c r="AP179" s="43" t="str">
        <f t="shared" si="2"/>
        <v>REALIZADO</v>
      </c>
      <c r="AV179" s="44" t="s">
        <v>46</v>
      </c>
      <c r="AW179" s="45"/>
      <c r="AX179" s="35"/>
    </row>
    <row r="180" hidden="1">
      <c r="A180" s="24"/>
      <c r="B180" s="36" t="s">
        <v>34</v>
      </c>
      <c r="C180" s="37">
        <v>45640.0</v>
      </c>
      <c r="F180" s="38">
        <v>0.5</v>
      </c>
      <c r="I180" s="39" t="s">
        <v>467</v>
      </c>
      <c r="S180" s="39" t="s">
        <v>468</v>
      </c>
      <c r="AE180" s="40">
        <v>0.5451388888888888</v>
      </c>
      <c r="AG180" s="39" t="s">
        <v>469</v>
      </c>
      <c r="AJ180" s="41" t="s">
        <v>470</v>
      </c>
      <c r="AL180" s="42" t="s">
        <v>53</v>
      </c>
      <c r="AP180" s="43" t="str">
        <f t="shared" si="2"/>
        <v>REALIZADO</v>
      </c>
      <c r="AV180" s="44" t="s">
        <v>46</v>
      </c>
      <c r="AW180" s="45"/>
      <c r="AX180" s="35"/>
    </row>
    <row r="181" hidden="1">
      <c r="A181" s="24"/>
      <c r="B181" s="36" t="s">
        <v>34</v>
      </c>
      <c r="C181" s="37">
        <v>45641.0</v>
      </c>
      <c r="F181" s="38">
        <v>0.5</v>
      </c>
      <c r="I181" s="39" t="s">
        <v>471</v>
      </c>
      <c r="S181" s="39" t="s">
        <v>472</v>
      </c>
      <c r="AE181" s="40">
        <v>0.19444444444444445</v>
      </c>
      <c r="AG181" s="39" t="s">
        <v>176</v>
      </c>
      <c r="AJ181" s="41" t="s">
        <v>473</v>
      </c>
      <c r="AL181" s="42" t="s">
        <v>68</v>
      </c>
      <c r="AP181" s="43" t="str">
        <f t="shared" si="2"/>
        <v>REALIZADO</v>
      </c>
      <c r="AV181" s="44" t="s">
        <v>46</v>
      </c>
      <c r="AW181" s="45"/>
      <c r="AX181" s="35"/>
    </row>
    <row r="182" hidden="1">
      <c r="A182" s="24"/>
      <c r="B182" s="36" t="s">
        <v>34</v>
      </c>
      <c r="C182" s="37">
        <v>45641.0</v>
      </c>
      <c r="F182" s="38">
        <v>0.7916666666666666</v>
      </c>
      <c r="I182" s="39" t="s">
        <v>474</v>
      </c>
      <c r="S182" s="39" t="s">
        <v>475</v>
      </c>
      <c r="AE182" s="40">
        <v>0.5347222222222222</v>
      </c>
      <c r="AG182" s="39" t="s">
        <v>476</v>
      </c>
      <c r="AJ182" s="41" t="s">
        <v>477</v>
      </c>
      <c r="AL182" s="42" t="s">
        <v>45</v>
      </c>
      <c r="AP182" s="43" t="str">
        <f t="shared" si="2"/>
        <v>REALIZADO</v>
      </c>
      <c r="AV182" s="44" t="s">
        <v>46</v>
      </c>
      <c r="AW182" s="45"/>
      <c r="AX182" s="35"/>
    </row>
    <row r="183" hidden="1">
      <c r="A183" s="24"/>
      <c r="B183" s="36" t="s">
        <v>34</v>
      </c>
      <c r="C183" s="37">
        <v>45642.0</v>
      </c>
      <c r="F183" s="38">
        <v>0.5</v>
      </c>
      <c r="I183" s="39" t="s">
        <v>478</v>
      </c>
      <c r="S183" s="39" t="s">
        <v>479</v>
      </c>
      <c r="AE183" s="40">
        <v>0.2708333333333333</v>
      </c>
      <c r="AG183" s="39" t="s">
        <v>480</v>
      </c>
      <c r="AJ183" s="41" t="s">
        <v>481</v>
      </c>
      <c r="AL183" s="42" t="s">
        <v>68</v>
      </c>
      <c r="AP183" s="43" t="str">
        <f t="shared" si="2"/>
        <v>REALIZADO</v>
      </c>
      <c r="AV183" s="44" t="s">
        <v>46</v>
      </c>
      <c r="AW183" s="45"/>
      <c r="AX183" s="35"/>
    </row>
    <row r="184" hidden="1">
      <c r="A184" s="24"/>
      <c r="B184" s="36" t="s">
        <v>34</v>
      </c>
      <c r="C184" s="37">
        <v>45643.0</v>
      </c>
      <c r="F184" s="38">
        <v>0.75</v>
      </c>
      <c r="I184" s="39" t="s">
        <v>482</v>
      </c>
      <c r="S184" s="39" t="s">
        <v>270</v>
      </c>
      <c r="AE184" s="40">
        <v>0.08333333333333333</v>
      </c>
      <c r="AG184" s="39" t="s">
        <v>483</v>
      </c>
      <c r="AJ184" s="41" t="s">
        <v>477</v>
      </c>
      <c r="AL184" s="42" t="s">
        <v>45</v>
      </c>
      <c r="AP184" s="43" t="str">
        <f t="shared" si="2"/>
        <v>REALIZADO</v>
      </c>
      <c r="AV184" s="44" t="s">
        <v>46</v>
      </c>
      <c r="AW184" s="45"/>
      <c r="AX184" s="35"/>
    </row>
    <row r="185" hidden="1">
      <c r="A185" s="24"/>
      <c r="B185" s="36" t="s">
        <v>41</v>
      </c>
      <c r="C185" s="37">
        <v>45643.0</v>
      </c>
      <c r="F185" s="38">
        <v>0.5</v>
      </c>
      <c r="I185" s="39" t="s">
        <v>484</v>
      </c>
      <c r="S185" s="39" t="s">
        <v>185</v>
      </c>
      <c r="AE185" s="40">
        <v>0.006944444444444444</v>
      </c>
      <c r="AG185" s="39" t="s">
        <v>44</v>
      </c>
      <c r="AJ185" s="41" t="s">
        <v>44</v>
      </c>
      <c r="AL185" s="42" t="s">
        <v>53</v>
      </c>
      <c r="AP185" s="43" t="str">
        <f t="shared" si="2"/>
        <v>REALIZADO</v>
      </c>
      <c r="AV185" s="44" t="s">
        <v>46</v>
      </c>
      <c r="AW185" s="45"/>
      <c r="AX185" s="35"/>
    </row>
    <row r="186" hidden="1">
      <c r="A186" s="24"/>
      <c r="B186" s="36" t="s">
        <v>34</v>
      </c>
      <c r="C186" s="37">
        <v>45644.0</v>
      </c>
      <c r="F186" s="38">
        <v>0.5</v>
      </c>
      <c r="I186" s="39" t="s">
        <v>485</v>
      </c>
      <c r="S186" s="39" t="s">
        <v>486</v>
      </c>
      <c r="AE186" s="40">
        <v>0.3472222222222222</v>
      </c>
      <c r="AG186" s="39" t="s">
        <v>487</v>
      </c>
      <c r="AJ186" s="41" t="s">
        <v>488</v>
      </c>
      <c r="AL186" s="42" t="s">
        <v>45</v>
      </c>
      <c r="AP186" s="43" t="str">
        <f t="shared" si="2"/>
        <v>REALIZADO</v>
      </c>
      <c r="AV186" s="44" t="s">
        <v>46</v>
      </c>
      <c r="AW186" s="45"/>
      <c r="AX186" s="35"/>
    </row>
    <row r="187" hidden="1">
      <c r="A187" s="24"/>
      <c r="B187" s="36" t="s">
        <v>41</v>
      </c>
      <c r="C187" s="37">
        <v>45644.0</v>
      </c>
      <c r="F187" s="38">
        <v>0.7916666666666666</v>
      </c>
      <c r="I187" s="39" t="s">
        <v>489</v>
      </c>
      <c r="S187" s="39" t="s">
        <v>490</v>
      </c>
      <c r="AE187" s="40">
        <v>0.020833333333333332</v>
      </c>
      <c r="AG187" s="39" t="s">
        <v>44</v>
      </c>
      <c r="AJ187" s="41" t="s">
        <v>44</v>
      </c>
      <c r="AL187" s="42" t="s">
        <v>68</v>
      </c>
      <c r="AP187" s="43" t="str">
        <f t="shared" si="2"/>
        <v>REALIZADO</v>
      </c>
      <c r="AV187" s="44" t="s">
        <v>46</v>
      </c>
      <c r="AW187" s="45"/>
      <c r="AX187" s="35"/>
    </row>
    <row r="188" hidden="1">
      <c r="A188" s="24"/>
      <c r="B188" s="36" t="s">
        <v>41</v>
      </c>
      <c r="C188" s="37">
        <v>45644.0</v>
      </c>
      <c r="F188" s="38">
        <v>0.8125</v>
      </c>
      <c r="I188" s="39" t="s">
        <v>491</v>
      </c>
      <c r="S188" s="39" t="s">
        <v>492</v>
      </c>
      <c r="AE188" s="40">
        <v>0.041666666666666664</v>
      </c>
      <c r="AG188" s="39" t="s">
        <v>44</v>
      </c>
      <c r="AJ188" s="41" t="s">
        <v>44</v>
      </c>
      <c r="AL188" s="42" t="s">
        <v>68</v>
      </c>
      <c r="AP188" s="43" t="str">
        <f t="shared" si="2"/>
        <v>REALIZADO</v>
      </c>
      <c r="AV188" s="44" t="s">
        <v>46</v>
      </c>
      <c r="AW188" s="45"/>
      <c r="AX188" s="35"/>
    </row>
    <row r="189" hidden="1">
      <c r="A189" s="24"/>
      <c r="B189" s="36" t="s">
        <v>34</v>
      </c>
      <c r="C189" s="37">
        <v>45645.0</v>
      </c>
      <c r="F189" s="38">
        <v>0.4166666666666667</v>
      </c>
      <c r="I189" s="39" t="s">
        <v>485</v>
      </c>
      <c r="S189" s="39" t="s">
        <v>493</v>
      </c>
      <c r="AE189" s="40">
        <v>0.5</v>
      </c>
      <c r="AG189" s="39" t="s">
        <v>494</v>
      </c>
      <c r="AJ189" s="41" t="s">
        <v>488</v>
      </c>
      <c r="AL189" s="42" t="s">
        <v>45</v>
      </c>
      <c r="AP189" s="43" t="str">
        <f t="shared" si="2"/>
        <v>ABORTIVA</v>
      </c>
      <c r="AV189" s="44" t="s">
        <v>57</v>
      </c>
      <c r="AW189" s="45"/>
      <c r="AX189" s="35"/>
    </row>
    <row r="190" hidden="1">
      <c r="A190" s="24"/>
      <c r="B190" s="36" t="s">
        <v>41</v>
      </c>
      <c r="C190" s="37">
        <v>45645.0</v>
      </c>
      <c r="F190" s="38">
        <v>0.4166666666666667</v>
      </c>
      <c r="I190" s="39" t="s">
        <v>495</v>
      </c>
      <c r="S190" s="39" t="s">
        <v>492</v>
      </c>
      <c r="AE190" s="40">
        <v>0.041666666666666664</v>
      </c>
      <c r="AG190" s="39" t="s">
        <v>44</v>
      </c>
      <c r="AJ190" s="41" t="s">
        <v>44</v>
      </c>
      <c r="AL190" s="42" t="s">
        <v>68</v>
      </c>
      <c r="AP190" s="43" t="str">
        <f t="shared" si="2"/>
        <v>REALIZADO</v>
      </c>
      <c r="AV190" s="44" t="s">
        <v>46</v>
      </c>
      <c r="AW190" s="45"/>
      <c r="AX190" s="35"/>
    </row>
    <row r="191" hidden="1">
      <c r="A191" s="24"/>
      <c r="B191" s="36" t="s">
        <v>34</v>
      </c>
      <c r="C191" s="37">
        <v>45645.0</v>
      </c>
      <c r="F191" s="38">
        <v>0.6875</v>
      </c>
      <c r="I191" s="39" t="s">
        <v>496</v>
      </c>
      <c r="S191" s="39" t="s">
        <v>497</v>
      </c>
      <c r="AE191" s="40">
        <v>0.09722222222222222</v>
      </c>
      <c r="AG191" s="39" t="s">
        <v>176</v>
      </c>
      <c r="AJ191" s="41" t="s">
        <v>498</v>
      </c>
      <c r="AL191" s="42" t="s">
        <v>68</v>
      </c>
      <c r="AP191" s="43" t="str">
        <f t="shared" si="2"/>
        <v>REALIZADO</v>
      </c>
      <c r="AV191" s="44" t="s">
        <v>46</v>
      </c>
      <c r="AW191" s="45"/>
      <c r="AX191" s="35"/>
    </row>
    <row r="192" hidden="1">
      <c r="A192" s="24"/>
      <c r="B192" s="36" t="s">
        <v>34</v>
      </c>
      <c r="C192" s="37">
        <v>45646.0</v>
      </c>
      <c r="F192" s="38">
        <v>0.5</v>
      </c>
      <c r="I192" s="39" t="s">
        <v>150</v>
      </c>
      <c r="S192" s="39" t="s">
        <v>78</v>
      </c>
      <c r="AE192" s="40">
        <v>0.14930555555555555</v>
      </c>
      <c r="AG192" s="39" t="s">
        <v>176</v>
      </c>
      <c r="AJ192" s="41" t="s">
        <v>499</v>
      </c>
      <c r="AL192" s="42" t="s">
        <v>68</v>
      </c>
      <c r="AP192" s="43" t="str">
        <f t="shared" si="2"/>
        <v>ABORTIVA</v>
      </c>
      <c r="AV192" s="44" t="s">
        <v>98</v>
      </c>
      <c r="AW192" s="45"/>
      <c r="AX192" s="35"/>
    </row>
    <row r="193" hidden="1">
      <c r="A193" s="24"/>
      <c r="B193" s="36" t="s">
        <v>34</v>
      </c>
      <c r="C193" s="37">
        <v>45646.0</v>
      </c>
      <c r="F193" s="38">
        <v>0.6111111111111112</v>
      </c>
      <c r="I193" s="39" t="s">
        <v>485</v>
      </c>
      <c r="S193" s="39" t="s">
        <v>500</v>
      </c>
      <c r="AE193" s="40">
        <v>0.4895833333333333</v>
      </c>
      <c r="AG193" s="39" t="s">
        <v>501</v>
      </c>
      <c r="AJ193" s="41" t="s">
        <v>488</v>
      </c>
      <c r="AL193" s="42" t="s">
        <v>45</v>
      </c>
      <c r="AP193" s="43" t="str">
        <f t="shared" si="2"/>
        <v>REALIZADO</v>
      </c>
      <c r="AV193" s="44" t="s">
        <v>46</v>
      </c>
      <c r="AW193" s="45"/>
      <c r="AX193" s="35"/>
    </row>
    <row r="194" hidden="1">
      <c r="A194" s="24"/>
      <c r="B194" s="36" t="s">
        <v>41</v>
      </c>
      <c r="C194" s="37">
        <v>45647.0</v>
      </c>
      <c r="F194" s="38">
        <v>0.4583333333333333</v>
      </c>
      <c r="I194" s="39" t="s">
        <v>502</v>
      </c>
      <c r="S194" s="39" t="s">
        <v>503</v>
      </c>
      <c r="AE194" s="40">
        <v>0.027777777777777776</v>
      </c>
      <c r="AG194" s="39" t="s">
        <v>67</v>
      </c>
      <c r="AJ194" s="41" t="s">
        <v>44</v>
      </c>
      <c r="AL194" s="42" t="s">
        <v>82</v>
      </c>
      <c r="AP194" s="43" t="str">
        <f t="shared" si="2"/>
        <v>REALIZADO</v>
      </c>
      <c r="AV194" s="44" t="s">
        <v>46</v>
      </c>
      <c r="AW194" s="45"/>
      <c r="AX194" s="35"/>
    </row>
    <row r="195" hidden="1">
      <c r="A195" s="24"/>
      <c r="B195" s="36" t="s">
        <v>34</v>
      </c>
      <c r="C195" s="37">
        <v>45647.0</v>
      </c>
      <c r="F195" s="38">
        <v>0.5208333333333334</v>
      </c>
      <c r="I195" s="39" t="s">
        <v>504</v>
      </c>
      <c r="S195" s="39" t="s">
        <v>78</v>
      </c>
      <c r="AE195" s="40">
        <v>0.14930555555555555</v>
      </c>
      <c r="AG195" s="39" t="s">
        <v>176</v>
      </c>
      <c r="AJ195" s="41" t="s">
        <v>505</v>
      </c>
      <c r="AL195" s="42" t="s">
        <v>82</v>
      </c>
      <c r="AP195" s="43" t="str">
        <f t="shared" si="2"/>
        <v>REALIZADO</v>
      </c>
      <c r="AV195" s="44" t="s">
        <v>46</v>
      </c>
      <c r="AW195" s="45"/>
      <c r="AX195" s="35"/>
    </row>
    <row r="196" hidden="1">
      <c r="A196" s="24"/>
      <c r="B196" s="36" t="s">
        <v>41</v>
      </c>
      <c r="C196" s="37">
        <v>45649.0</v>
      </c>
      <c r="F196" s="38">
        <v>0.7916666666666666</v>
      </c>
      <c r="I196" s="39" t="s">
        <v>506</v>
      </c>
      <c r="S196" s="39" t="s">
        <v>185</v>
      </c>
      <c r="AE196" s="40">
        <v>0.003472222222222222</v>
      </c>
      <c r="AG196" s="39" t="s">
        <v>44</v>
      </c>
      <c r="AJ196" s="41" t="s">
        <v>44</v>
      </c>
      <c r="AL196" s="42" t="s">
        <v>45</v>
      </c>
      <c r="AP196" s="43" t="str">
        <f t="shared" si="2"/>
        <v>REALIZADO</v>
      </c>
      <c r="AV196" s="44" t="s">
        <v>46</v>
      </c>
      <c r="AW196" s="45"/>
      <c r="AX196" s="35"/>
    </row>
    <row r="197" hidden="1">
      <c r="A197" s="24"/>
      <c r="B197" s="36" t="s">
        <v>34</v>
      </c>
      <c r="C197" s="37">
        <v>45652.0</v>
      </c>
      <c r="F197" s="38">
        <v>0.5</v>
      </c>
      <c r="I197" s="39" t="s">
        <v>507</v>
      </c>
      <c r="S197" s="39" t="s">
        <v>508</v>
      </c>
      <c r="AE197" s="40">
        <v>0.5138888888888888</v>
      </c>
      <c r="AG197" s="39" t="s">
        <v>176</v>
      </c>
      <c r="AJ197" s="41" t="s">
        <v>509</v>
      </c>
      <c r="AL197" s="42" t="s">
        <v>45</v>
      </c>
      <c r="AP197" s="43" t="str">
        <f t="shared" si="2"/>
        <v>REALIZADO</v>
      </c>
      <c r="AV197" s="44" t="s">
        <v>46</v>
      </c>
      <c r="AW197" s="45"/>
      <c r="AX197" s="35"/>
    </row>
    <row r="198" hidden="1">
      <c r="A198" s="24"/>
      <c r="B198" s="36" t="s">
        <v>34</v>
      </c>
      <c r="C198" s="37">
        <v>45654.0</v>
      </c>
      <c r="F198" s="38">
        <v>0.5</v>
      </c>
      <c r="I198" s="39" t="s">
        <v>507</v>
      </c>
      <c r="S198" s="39" t="s">
        <v>510</v>
      </c>
      <c r="AE198" s="40">
        <v>0.2465277777777778</v>
      </c>
      <c r="AG198" s="39" t="s">
        <v>176</v>
      </c>
      <c r="AJ198" s="41" t="s">
        <v>511</v>
      </c>
      <c r="AL198" s="42" t="s">
        <v>512</v>
      </c>
      <c r="AP198" s="43" t="str">
        <f t="shared" si="2"/>
        <v>REALIZADO</v>
      </c>
      <c r="AV198" s="44" t="s">
        <v>46</v>
      </c>
      <c r="AW198" s="45"/>
      <c r="AX198" s="35"/>
    </row>
    <row r="199">
      <c r="A199" s="24"/>
      <c r="B199" s="36" t="s">
        <v>34</v>
      </c>
      <c r="C199" s="37">
        <v>45659.0</v>
      </c>
      <c r="F199" s="38">
        <v>0.4583333333333333</v>
      </c>
      <c r="I199" s="39" t="s">
        <v>513</v>
      </c>
      <c r="S199" s="39" t="s">
        <v>514</v>
      </c>
      <c r="AE199" s="40">
        <v>0.2777777777777778</v>
      </c>
      <c r="AG199" s="39" t="s">
        <v>515</v>
      </c>
      <c r="AJ199" s="41" t="s">
        <v>516</v>
      </c>
      <c r="AL199" s="42" t="s">
        <v>512</v>
      </c>
      <c r="AP199" s="43" t="str">
        <f t="shared" si="2"/>
        <v>REALIZADO</v>
      </c>
      <c r="AV199" s="44" t="s">
        <v>46</v>
      </c>
      <c r="AW199" s="45"/>
      <c r="AX199" s="35"/>
    </row>
    <row r="200">
      <c r="A200" s="24"/>
      <c r="B200" s="36" t="s">
        <v>34</v>
      </c>
      <c r="C200" s="37">
        <v>45664.0</v>
      </c>
      <c r="F200" s="38">
        <v>0.11458333333333333</v>
      </c>
      <c r="I200" s="39" t="s">
        <v>517</v>
      </c>
      <c r="S200" s="39" t="s">
        <v>357</v>
      </c>
      <c r="AE200" s="40">
        <v>0.2777777777777778</v>
      </c>
      <c r="AG200" s="39" t="s">
        <v>518</v>
      </c>
      <c r="AJ200" s="41" t="s">
        <v>519</v>
      </c>
      <c r="AL200" s="42" t="s">
        <v>512</v>
      </c>
      <c r="AP200" s="43" t="str">
        <f t="shared" si="2"/>
        <v>REALIZADO</v>
      </c>
      <c r="AV200" s="44" t="s">
        <v>46</v>
      </c>
      <c r="AW200" s="45"/>
      <c r="AX200" s="35"/>
    </row>
    <row r="201">
      <c r="A201" s="24"/>
      <c r="B201" s="36" t="s">
        <v>41</v>
      </c>
      <c r="C201" s="37">
        <v>45666.0</v>
      </c>
      <c r="F201" s="38">
        <v>0.5416666666666666</v>
      </c>
      <c r="I201" s="39" t="s">
        <v>520</v>
      </c>
      <c r="S201" s="39" t="s">
        <v>185</v>
      </c>
      <c r="AE201" s="40">
        <v>0.003472222222222222</v>
      </c>
      <c r="AG201" s="39" t="s">
        <v>44</v>
      </c>
      <c r="AJ201" s="41" t="s">
        <v>44</v>
      </c>
      <c r="AL201" s="42" t="s">
        <v>261</v>
      </c>
      <c r="AP201" s="43" t="str">
        <f t="shared" si="2"/>
        <v>REALIZADO</v>
      </c>
      <c r="AV201" s="44" t="s">
        <v>46</v>
      </c>
      <c r="AW201" s="45"/>
      <c r="AX201" s="35"/>
    </row>
    <row r="202">
      <c r="A202" s="24"/>
      <c r="B202" s="36" t="s">
        <v>41</v>
      </c>
      <c r="C202" s="37">
        <v>45666.0</v>
      </c>
      <c r="F202" s="38">
        <v>0.5486111111111112</v>
      </c>
      <c r="I202" s="39" t="s">
        <v>521</v>
      </c>
      <c r="S202" s="39" t="s">
        <v>185</v>
      </c>
      <c r="AE202" s="40">
        <v>0.003472222222222222</v>
      </c>
      <c r="AG202" s="39" t="s">
        <v>44</v>
      </c>
      <c r="AJ202" s="41" t="s">
        <v>44</v>
      </c>
      <c r="AL202" s="42" t="s">
        <v>261</v>
      </c>
      <c r="AP202" s="43" t="str">
        <f t="shared" si="2"/>
        <v>REALIZADO</v>
      </c>
      <c r="AV202" s="44" t="s">
        <v>46</v>
      </c>
      <c r="AW202" s="45"/>
      <c r="AX202" s="35"/>
    </row>
    <row r="203">
      <c r="A203" s="24"/>
      <c r="B203" s="36" t="s">
        <v>41</v>
      </c>
      <c r="C203" s="37">
        <v>45666.0</v>
      </c>
      <c r="F203" s="38">
        <v>0.7083333333333334</v>
      </c>
      <c r="I203" s="39" t="s">
        <v>522</v>
      </c>
      <c r="S203" s="39" t="s">
        <v>185</v>
      </c>
      <c r="AE203" s="40">
        <v>0.003472222222222222</v>
      </c>
      <c r="AG203" s="39" t="s">
        <v>44</v>
      </c>
      <c r="AJ203" s="39" t="s">
        <v>44</v>
      </c>
      <c r="AL203" s="42" t="s">
        <v>523</v>
      </c>
      <c r="AP203" s="43" t="str">
        <f t="shared" si="2"/>
        <v>REALIZADO</v>
      </c>
      <c r="AV203" s="44" t="s">
        <v>46</v>
      </c>
      <c r="AW203" s="45"/>
      <c r="AX203" s="35"/>
    </row>
    <row r="204">
      <c r="A204" s="24"/>
      <c r="B204" s="36" t="s">
        <v>41</v>
      </c>
      <c r="C204" s="37">
        <v>45666.0</v>
      </c>
      <c r="F204" s="38">
        <v>0.7152777777777778</v>
      </c>
      <c r="I204" s="39" t="s">
        <v>524</v>
      </c>
      <c r="S204" s="39" t="s">
        <v>185</v>
      </c>
      <c r="AE204" s="40">
        <v>0.003472222222222222</v>
      </c>
      <c r="AG204" s="39" t="s">
        <v>525</v>
      </c>
      <c r="AJ204" s="39" t="s">
        <v>44</v>
      </c>
      <c r="AL204" s="42" t="s">
        <v>523</v>
      </c>
      <c r="AP204" s="43" t="str">
        <f t="shared" si="2"/>
        <v>REALIZADO</v>
      </c>
      <c r="AV204" s="44" t="s">
        <v>46</v>
      </c>
      <c r="AW204" s="45"/>
      <c r="AX204" s="35"/>
    </row>
    <row r="205">
      <c r="A205" s="24"/>
      <c r="B205" s="36" t="s">
        <v>41</v>
      </c>
      <c r="C205" s="37">
        <v>45672.0</v>
      </c>
      <c r="F205" s="38">
        <v>0.4375</v>
      </c>
      <c r="I205" s="39" t="s">
        <v>526</v>
      </c>
      <c r="S205" s="39" t="s">
        <v>185</v>
      </c>
      <c r="AE205" s="40">
        <v>0.003472222222222222</v>
      </c>
      <c r="AG205" s="39" t="s">
        <v>525</v>
      </c>
      <c r="AJ205" s="41" t="s">
        <v>527</v>
      </c>
      <c r="AL205" s="42" t="s">
        <v>512</v>
      </c>
      <c r="AP205" s="43" t="str">
        <f t="shared" si="2"/>
        <v>REALIZADO</v>
      </c>
      <c r="AV205" s="44" t="s">
        <v>46</v>
      </c>
      <c r="AW205" s="45"/>
      <c r="AX205" s="35"/>
    </row>
    <row r="206">
      <c r="A206" s="24"/>
      <c r="B206" s="36" t="s">
        <v>34</v>
      </c>
      <c r="C206" s="37">
        <v>45672.0</v>
      </c>
      <c r="F206" s="38">
        <v>0.7083333333333334</v>
      </c>
      <c r="I206" s="39" t="s">
        <v>528</v>
      </c>
      <c r="S206" s="39" t="s">
        <v>529</v>
      </c>
      <c r="AE206" s="40">
        <v>0.05555555555555555</v>
      </c>
      <c r="AG206" s="56">
        <v>45717.0</v>
      </c>
      <c r="AJ206" s="41" t="s">
        <v>530</v>
      </c>
      <c r="AL206" s="42" t="s">
        <v>261</v>
      </c>
      <c r="AP206" s="43" t="str">
        <f t="shared" si="2"/>
        <v>REALIZADO</v>
      </c>
      <c r="AV206" s="44" t="s">
        <v>46</v>
      </c>
      <c r="AW206" s="45"/>
      <c r="AX206" s="35"/>
    </row>
    <row r="207">
      <c r="A207" s="24"/>
      <c r="B207" s="36" t="s">
        <v>41</v>
      </c>
      <c r="C207" s="37">
        <v>45677.0</v>
      </c>
      <c r="F207" s="38">
        <v>0.5416666666666666</v>
      </c>
      <c r="I207" s="39" t="s">
        <v>531</v>
      </c>
      <c r="S207" s="39" t="s">
        <v>532</v>
      </c>
      <c r="AE207" s="40">
        <v>0.041666666666666664</v>
      </c>
      <c r="AG207" s="39" t="s">
        <v>119</v>
      </c>
      <c r="AJ207" s="41" t="s">
        <v>533</v>
      </c>
      <c r="AL207" s="42" t="s">
        <v>53</v>
      </c>
      <c r="AP207" s="43" t="str">
        <f t="shared" si="2"/>
        <v>REALIZADO</v>
      </c>
      <c r="AV207" s="44" t="s">
        <v>46</v>
      </c>
      <c r="AW207" s="45"/>
      <c r="AX207" s="35"/>
    </row>
    <row r="208">
      <c r="A208" s="24"/>
      <c r="B208" s="36" t="s">
        <v>34</v>
      </c>
      <c r="C208" s="37">
        <v>45677.0</v>
      </c>
      <c r="F208" s="38">
        <v>0.7083333333333334</v>
      </c>
      <c r="I208" s="39" t="s">
        <v>534</v>
      </c>
      <c r="S208" s="39" t="s">
        <v>175</v>
      </c>
      <c r="AE208" s="40">
        <v>0.2361111111111111</v>
      </c>
      <c r="AG208" s="39" t="s">
        <v>535</v>
      </c>
      <c r="AJ208" s="41" t="s">
        <v>536</v>
      </c>
      <c r="AL208" s="42" t="s">
        <v>53</v>
      </c>
      <c r="AP208" s="43" t="str">
        <f t="shared" si="2"/>
        <v>REALIZADO</v>
      </c>
      <c r="AV208" s="44" t="s">
        <v>46</v>
      </c>
      <c r="AW208" s="45"/>
      <c r="AX208" s="35"/>
    </row>
    <row r="209">
      <c r="A209" s="24"/>
      <c r="B209" s="36" t="s">
        <v>41</v>
      </c>
      <c r="C209" s="37">
        <v>45678.0</v>
      </c>
      <c r="F209" s="38">
        <v>0.75</v>
      </c>
      <c r="I209" s="39" t="s">
        <v>537</v>
      </c>
      <c r="S209" s="39" t="s">
        <v>66</v>
      </c>
      <c r="AE209" s="40">
        <v>0.041666666666666664</v>
      </c>
      <c r="AG209" s="39" t="s">
        <v>67</v>
      </c>
      <c r="AJ209" s="41" t="s">
        <v>538</v>
      </c>
      <c r="AL209" s="42" t="s">
        <v>45</v>
      </c>
      <c r="AP209" s="43" t="str">
        <f t="shared" si="2"/>
        <v>REALIZADO</v>
      </c>
      <c r="AV209" s="44" t="s">
        <v>46</v>
      </c>
      <c r="AW209" s="45"/>
      <c r="AX209" s="35"/>
    </row>
    <row r="210">
      <c r="A210" s="24"/>
      <c r="B210" s="36" t="s">
        <v>34</v>
      </c>
      <c r="C210" s="37">
        <v>45679.0</v>
      </c>
      <c r="F210" s="38">
        <v>0.4166666666666667</v>
      </c>
      <c r="I210" s="39" t="s">
        <v>539</v>
      </c>
      <c r="S210" s="39" t="s">
        <v>349</v>
      </c>
      <c r="AE210" s="40">
        <v>0.5416666666666666</v>
      </c>
      <c r="AG210" s="39" t="s">
        <v>540</v>
      </c>
      <c r="AJ210" s="41" t="s">
        <v>541</v>
      </c>
      <c r="AL210" s="42" t="s">
        <v>45</v>
      </c>
      <c r="AP210" s="43" t="str">
        <f t="shared" si="2"/>
        <v>REALIZADO</v>
      </c>
      <c r="AV210" s="44" t="s">
        <v>46</v>
      </c>
      <c r="AW210" s="45"/>
      <c r="AX210" s="35"/>
    </row>
    <row r="211">
      <c r="A211" s="24"/>
      <c r="B211" s="36" t="s">
        <v>34</v>
      </c>
      <c r="C211" s="37">
        <v>45681.0</v>
      </c>
      <c r="F211" s="38">
        <v>0.5</v>
      </c>
      <c r="I211" s="39" t="s">
        <v>542</v>
      </c>
      <c r="S211" s="39" t="s">
        <v>543</v>
      </c>
      <c r="AE211" s="40">
        <v>0.5694444444444444</v>
      </c>
      <c r="AG211" s="39" t="s">
        <v>544</v>
      </c>
      <c r="AJ211" s="41" t="s">
        <v>545</v>
      </c>
      <c r="AL211" s="42" t="s">
        <v>45</v>
      </c>
      <c r="AP211" s="43" t="str">
        <f t="shared" si="2"/>
        <v>REALIZADO</v>
      </c>
      <c r="AV211" s="44" t="s">
        <v>46</v>
      </c>
      <c r="AW211" s="45"/>
      <c r="AX211" s="35"/>
    </row>
    <row r="212">
      <c r="A212" s="24"/>
      <c r="B212" s="36" t="s">
        <v>41</v>
      </c>
      <c r="C212" s="37">
        <v>45681.0</v>
      </c>
      <c r="F212" s="38">
        <v>0.5208333333333334</v>
      </c>
      <c r="I212" s="39" t="s">
        <v>546</v>
      </c>
      <c r="S212" s="39" t="s">
        <v>233</v>
      </c>
      <c r="AE212" s="40">
        <v>0.041666666666666664</v>
      </c>
      <c r="AG212" s="39" t="s">
        <v>416</v>
      </c>
      <c r="AJ212" s="41" t="s">
        <v>547</v>
      </c>
      <c r="AL212" s="42" t="s">
        <v>512</v>
      </c>
      <c r="AP212" s="43" t="str">
        <f t="shared" si="2"/>
        <v>REALIZADO</v>
      </c>
      <c r="AV212" s="44" t="s">
        <v>46</v>
      </c>
      <c r="AW212" s="45"/>
      <c r="AX212" s="35"/>
    </row>
    <row r="213">
      <c r="A213" s="24"/>
      <c r="B213" s="36" t="s">
        <v>34</v>
      </c>
      <c r="C213" s="37">
        <v>45682.0</v>
      </c>
      <c r="F213" s="38">
        <v>0.8333333333333334</v>
      </c>
      <c r="I213" s="39" t="s">
        <v>548</v>
      </c>
      <c r="S213" s="39" t="s">
        <v>514</v>
      </c>
      <c r="AE213" s="40">
        <v>0.2777777777777778</v>
      </c>
      <c r="AG213" s="39" t="s">
        <v>549</v>
      </c>
      <c r="AJ213" s="41" t="s">
        <v>550</v>
      </c>
      <c r="AL213" s="42" t="s">
        <v>512</v>
      </c>
      <c r="AP213" s="43" t="str">
        <f t="shared" si="2"/>
        <v>REALIZADO</v>
      </c>
      <c r="AV213" s="44" t="s">
        <v>46</v>
      </c>
      <c r="AW213" s="45"/>
      <c r="AX213" s="35"/>
    </row>
    <row r="214">
      <c r="A214" s="24"/>
      <c r="B214" s="36" t="s">
        <v>34</v>
      </c>
      <c r="C214" s="37">
        <v>45686.0</v>
      </c>
      <c r="F214" s="38">
        <v>0.5</v>
      </c>
      <c r="I214" s="39" t="s">
        <v>551</v>
      </c>
      <c r="S214" s="39" t="s">
        <v>552</v>
      </c>
      <c r="AE214" s="40">
        <v>0.5138888888888888</v>
      </c>
      <c r="AG214" s="39" t="s">
        <v>553</v>
      </c>
      <c r="AJ214" s="41" t="s">
        <v>554</v>
      </c>
      <c r="AL214" s="42" t="s">
        <v>45</v>
      </c>
      <c r="AP214" s="43" t="str">
        <f t="shared" si="2"/>
        <v>REALIZADO</v>
      </c>
      <c r="AV214" s="44" t="s">
        <v>46</v>
      </c>
      <c r="AW214" s="45"/>
      <c r="AX214" s="35"/>
    </row>
    <row r="215">
      <c r="A215" s="24"/>
      <c r="B215" s="36" t="s">
        <v>41</v>
      </c>
      <c r="C215" s="37">
        <v>45686.0</v>
      </c>
      <c r="F215" s="38">
        <v>0.5</v>
      </c>
      <c r="I215" s="39" t="s">
        <v>555</v>
      </c>
      <c r="S215" s="39" t="s">
        <v>185</v>
      </c>
      <c r="AE215" s="40">
        <v>0.010416666666666666</v>
      </c>
      <c r="AG215" s="39" t="s">
        <v>44</v>
      </c>
      <c r="AJ215" s="41" t="s">
        <v>556</v>
      </c>
      <c r="AL215" s="42" t="s">
        <v>557</v>
      </c>
      <c r="AP215" s="43" t="str">
        <f t="shared" si="2"/>
        <v>REALIZADO</v>
      </c>
      <c r="AV215" s="44" t="s">
        <v>46</v>
      </c>
      <c r="AW215" s="45"/>
      <c r="AX215" s="35"/>
    </row>
    <row r="216">
      <c r="A216" s="24"/>
      <c r="B216" s="36" t="s">
        <v>41</v>
      </c>
      <c r="C216" s="37">
        <v>45691.0</v>
      </c>
      <c r="F216" s="38">
        <v>0.5</v>
      </c>
      <c r="I216" s="39" t="s">
        <v>558</v>
      </c>
      <c r="S216" s="39" t="s">
        <v>233</v>
      </c>
      <c r="AE216" s="40">
        <v>0.041666666666666664</v>
      </c>
      <c r="AG216" s="39" t="s">
        <v>119</v>
      </c>
      <c r="AJ216" s="41" t="s">
        <v>559</v>
      </c>
      <c r="AL216" s="42" t="s">
        <v>45</v>
      </c>
      <c r="AP216" s="43" t="str">
        <f t="shared" si="2"/>
        <v>REALIZADO</v>
      </c>
      <c r="AV216" s="44" t="s">
        <v>46</v>
      </c>
      <c r="AW216" s="45"/>
      <c r="AX216" s="35"/>
    </row>
    <row r="217">
      <c r="A217" s="24"/>
      <c r="B217" s="36" t="s">
        <v>41</v>
      </c>
      <c r="C217" s="37">
        <v>45691.0</v>
      </c>
      <c r="F217" s="38">
        <v>0.5625</v>
      </c>
      <c r="I217" s="39" t="s">
        <v>560</v>
      </c>
      <c r="S217" s="39" t="s">
        <v>233</v>
      </c>
      <c r="AE217" s="40">
        <v>0.041666666666666664</v>
      </c>
      <c r="AG217" s="39" t="s">
        <v>119</v>
      </c>
      <c r="AJ217" s="41" t="s">
        <v>561</v>
      </c>
      <c r="AL217" s="42" t="s">
        <v>45</v>
      </c>
      <c r="AP217" s="43" t="str">
        <f t="shared" si="2"/>
        <v>REALIZADO</v>
      </c>
      <c r="AV217" s="44" t="s">
        <v>46</v>
      </c>
      <c r="AW217" s="45"/>
      <c r="AX217" s="35"/>
    </row>
    <row r="218">
      <c r="A218" s="24"/>
      <c r="B218" s="36" t="s">
        <v>34</v>
      </c>
      <c r="C218" s="37">
        <v>45692.0</v>
      </c>
      <c r="F218" s="38">
        <v>0.4166666666666667</v>
      </c>
      <c r="I218" s="39" t="s">
        <v>562</v>
      </c>
      <c r="S218" s="39" t="s">
        <v>89</v>
      </c>
      <c r="AE218" s="40">
        <v>0.2465277777777778</v>
      </c>
      <c r="AG218" s="39" t="s">
        <v>563</v>
      </c>
      <c r="AJ218" s="41" t="s">
        <v>564</v>
      </c>
      <c r="AL218" s="42" t="s">
        <v>45</v>
      </c>
      <c r="AP218" s="43" t="str">
        <f t="shared" si="2"/>
        <v>REALIZADO</v>
      </c>
      <c r="AV218" s="44" t="s">
        <v>46</v>
      </c>
      <c r="AW218" s="45"/>
      <c r="AX218" s="35"/>
    </row>
    <row r="219">
      <c r="A219" s="24"/>
      <c r="B219" s="36" t="s">
        <v>34</v>
      </c>
      <c r="C219" s="37">
        <v>45693.0</v>
      </c>
      <c r="F219" s="38">
        <v>0.4166666666666667</v>
      </c>
      <c r="I219" s="39" t="s">
        <v>565</v>
      </c>
      <c r="S219" s="39" t="s">
        <v>566</v>
      </c>
      <c r="AE219" s="40">
        <v>0.1597222222222222</v>
      </c>
      <c r="AG219" s="39" t="s">
        <v>567</v>
      </c>
      <c r="AJ219" s="41" t="s">
        <v>568</v>
      </c>
      <c r="AL219" s="42" t="s">
        <v>557</v>
      </c>
      <c r="AP219" s="43" t="str">
        <f t="shared" si="2"/>
        <v>REALIZADO</v>
      </c>
      <c r="AV219" s="44" t="s">
        <v>46</v>
      </c>
      <c r="AW219" s="45"/>
      <c r="AX219" s="35"/>
    </row>
    <row r="220">
      <c r="A220" s="24"/>
      <c r="B220" s="36" t="s">
        <v>34</v>
      </c>
      <c r="C220" s="37">
        <v>45694.0</v>
      </c>
      <c r="F220" s="38">
        <v>0.375</v>
      </c>
      <c r="I220" s="39" t="s">
        <v>569</v>
      </c>
      <c r="S220" s="39" t="s">
        <v>570</v>
      </c>
      <c r="AE220" s="40">
        <v>0.4375</v>
      </c>
      <c r="AG220" s="39" t="s">
        <v>571</v>
      </c>
      <c r="AJ220" s="41" t="s">
        <v>572</v>
      </c>
      <c r="AL220" s="42" t="s">
        <v>45</v>
      </c>
      <c r="AP220" s="43" t="str">
        <f t="shared" si="2"/>
        <v>REALIZADO</v>
      </c>
      <c r="AV220" s="44" t="s">
        <v>46</v>
      </c>
      <c r="AW220" s="45"/>
      <c r="AX220" s="35"/>
    </row>
    <row r="221">
      <c r="A221" s="24"/>
      <c r="B221" s="36" t="s">
        <v>41</v>
      </c>
      <c r="C221" s="37">
        <v>45694.0</v>
      </c>
      <c r="F221" s="38">
        <v>0.5</v>
      </c>
      <c r="I221" s="39" t="s">
        <v>573</v>
      </c>
      <c r="S221" s="39" t="s">
        <v>574</v>
      </c>
      <c r="AE221" s="40">
        <v>0.041666666666666664</v>
      </c>
      <c r="AG221" s="39" t="s">
        <v>67</v>
      </c>
      <c r="AJ221" s="41" t="s">
        <v>575</v>
      </c>
      <c r="AL221" s="42" t="s">
        <v>53</v>
      </c>
      <c r="AP221" s="43" t="str">
        <f t="shared" si="2"/>
        <v>ABORTIVA</v>
      </c>
      <c r="AV221" s="44" t="s">
        <v>98</v>
      </c>
      <c r="AW221" s="45"/>
      <c r="AX221" s="35"/>
    </row>
    <row r="222">
      <c r="A222" s="24"/>
      <c r="B222" s="36" t="s">
        <v>34</v>
      </c>
      <c r="C222" s="37">
        <v>45695.0</v>
      </c>
      <c r="F222" s="38">
        <v>0.6666666666666666</v>
      </c>
      <c r="I222" s="39" t="s">
        <v>576</v>
      </c>
      <c r="S222" s="39" t="s">
        <v>270</v>
      </c>
      <c r="AE222" s="40">
        <v>0.08333333333333333</v>
      </c>
      <c r="AG222" s="39" t="s">
        <v>577</v>
      </c>
      <c r="AJ222" s="41" t="s">
        <v>578</v>
      </c>
      <c r="AL222" s="42" t="s">
        <v>45</v>
      </c>
      <c r="AP222" s="43" t="str">
        <f t="shared" si="2"/>
        <v>REALIZADO</v>
      </c>
      <c r="AV222" s="44" t="s">
        <v>46</v>
      </c>
      <c r="AW222" s="45"/>
      <c r="AX222" s="35"/>
    </row>
    <row r="223">
      <c r="A223" s="24"/>
      <c r="B223" s="36" t="s">
        <v>34</v>
      </c>
      <c r="C223" s="37">
        <v>45695.0</v>
      </c>
      <c r="F223" s="38">
        <v>0.7916666666666666</v>
      </c>
      <c r="I223" s="39" t="s">
        <v>579</v>
      </c>
      <c r="S223" s="39" t="s">
        <v>580</v>
      </c>
      <c r="AE223" s="40">
        <v>0.3159722222222222</v>
      </c>
      <c r="AG223" s="39" t="s">
        <v>581</v>
      </c>
      <c r="AJ223" s="41" t="s">
        <v>582</v>
      </c>
      <c r="AL223" s="42" t="s">
        <v>53</v>
      </c>
      <c r="AP223" s="43" t="str">
        <f t="shared" si="2"/>
        <v>REALIZADO</v>
      </c>
      <c r="AV223" s="44" t="s">
        <v>46</v>
      </c>
      <c r="AW223" s="45"/>
      <c r="AX223" s="35"/>
    </row>
    <row r="224">
      <c r="A224" s="24"/>
      <c r="B224" s="36" t="s">
        <v>34</v>
      </c>
      <c r="C224" s="37">
        <v>45696.0</v>
      </c>
      <c r="F224" s="38">
        <v>0.375</v>
      </c>
      <c r="I224" s="39" t="s">
        <v>583</v>
      </c>
      <c r="S224" s="39" t="s">
        <v>584</v>
      </c>
      <c r="AE224" s="40">
        <v>0.4375</v>
      </c>
      <c r="AG224" s="39" t="s">
        <v>585</v>
      </c>
      <c r="AJ224" s="41" t="s">
        <v>586</v>
      </c>
      <c r="AL224" s="42" t="s">
        <v>45</v>
      </c>
      <c r="AP224" s="43" t="str">
        <f t="shared" si="2"/>
        <v>REALIZADO</v>
      </c>
      <c r="AV224" s="44" t="s">
        <v>46</v>
      </c>
      <c r="AW224" s="45"/>
      <c r="AX224" s="35"/>
    </row>
    <row r="225">
      <c r="A225" s="24"/>
      <c r="B225" s="36" t="s">
        <v>34</v>
      </c>
      <c r="C225" s="37">
        <v>45697.0</v>
      </c>
      <c r="F225" s="38">
        <v>0.4583333333333333</v>
      </c>
      <c r="I225" s="39" t="s">
        <v>587</v>
      </c>
      <c r="S225" s="39" t="s">
        <v>588</v>
      </c>
      <c r="AE225" s="40">
        <v>0.3923611111111111</v>
      </c>
      <c r="AG225" s="39" t="s">
        <v>589</v>
      </c>
      <c r="AJ225" s="41" t="s">
        <v>590</v>
      </c>
      <c r="AL225" s="42" t="s">
        <v>53</v>
      </c>
      <c r="AP225" s="43" t="str">
        <f t="shared" si="2"/>
        <v>REALIZADO</v>
      </c>
      <c r="AV225" s="44" t="s">
        <v>46</v>
      </c>
      <c r="AW225" s="45"/>
      <c r="AX225" s="35"/>
    </row>
    <row r="226">
      <c r="A226" s="24"/>
      <c r="B226" s="36" t="s">
        <v>41</v>
      </c>
      <c r="C226" s="37">
        <v>45698.0</v>
      </c>
      <c r="F226" s="38">
        <v>0.4375</v>
      </c>
      <c r="I226" s="39" t="s">
        <v>591</v>
      </c>
      <c r="S226" s="39" t="s">
        <v>185</v>
      </c>
      <c r="AE226" s="40">
        <v>0.003472222222222222</v>
      </c>
      <c r="AG226" s="39" t="s">
        <v>44</v>
      </c>
      <c r="AJ226" s="41" t="s">
        <v>592</v>
      </c>
      <c r="AL226" s="42" t="s">
        <v>557</v>
      </c>
      <c r="AP226" s="43" t="str">
        <f t="shared" si="2"/>
        <v>REALIZADO</v>
      </c>
      <c r="AV226" s="44" t="s">
        <v>46</v>
      </c>
      <c r="AW226" s="45"/>
      <c r="AX226" s="35"/>
    </row>
    <row r="227">
      <c r="A227" s="24"/>
      <c r="B227" s="36" t="s">
        <v>34</v>
      </c>
      <c r="C227" s="37">
        <v>45698.0</v>
      </c>
      <c r="F227" s="38">
        <v>0.5</v>
      </c>
      <c r="I227" s="39" t="s">
        <v>593</v>
      </c>
      <c r="S227" s="39" t="s">
        <v>286</v>
      </c>
      <c r="AE227" s="40">
        <v>0.16319444444444445</v>
      </c>
      <c r="AG227" s="39" t="s">
        <v>594</v>
      </c>
      <c r="AJ227" s="41" t="s">
        <v>595</v>
      </c>
      <c r="AL227" s="42" t="s">
        <v>557</v>
      </c>
      <c r="AP227" s="43" t="str">
        <f t="shared" si="2"/>
        <v>REALIZADO</v>
      </c>
      <c r="AV227" s="44" t="s">
        <v>46</v>
      </c>
      <c r="AW227" s="45"/>
      <c r="AX227" s="35"/>
    </row>
    <row r="228">
      <c r="A228" s="24"/>
      <c r="B228" s="36" t="s">
        <v>34</v>
      </c>
      <c r="C228" s="37">
        <v>45699.0</v>
      </c>
      <c r="F228" s="38">
        <v>0.4166666666666667</v>
      </c>
      <c r="I228" s="39" t="s">
        <v>596</v>
      </c>
      <c r="S228" s="39" t="s">
        <v>597</v>
      </c>
      <c r="AE228" s="40">
        <v>0.1388888888888889</v>
      </c>
      <c r="AG228" s="39" t="s">
        <v>598</v>
      </c>
      <c r="AJ228" s="41" t="s">
        <v>599</v>
      </c>
      <c r="AL228" s="42" t="s">
        <v>45</v>
      </c>
      <c r="AP228" s="43" t="str">
        <f t="shared" si="2"/>
        <v>REALIZADO</v>
      </c>
      <c r="AV228" s="44" t="s">
        <v>46</v>
      </c>
      <c r="AW228" s="45"/>
      <c r="AX228" s="35"/>
    </row>
    <row r="229">
      <c r="A229" s="24"/>
      <c r="B229" s="36" t="s">
        <v>41</v>
      </c>
      <c r="C229" s="37">
        <v>45700.0</v>
      </c>
      <c r="F229" s="38">
        <v>0.5</v>
      </c>
      <c r="I229" s="39" t="s">
        <v>600</v>
      </c>
      <c r="S229" s="39" t="s">
        <v>233</v>
      </c>
      <c r="AE229" s="40">
        <v>0.041666666666666664</v>
      </c>
      <c r="AG229" s="39" t="s">
        <v>67</v>
      </c>
      <c r="AJ229" s="41" t="s">
        <v>601</v>
      </c>
      <c r="AL229" s="42" t="s">
        <v>56</v>
      </c>
      <c r="AP229" s="43" t="str">
        <f t="shared" si="2"/>
        <v>REALIZADO</v>
      </c>
      <c r="AV229" s="44" t="s">
        <v>46</v>
      </c>
      <c r="AW229" s="45"/>
      <c r="AX229" s="35"/>
    </row>
    <row r="230">
      <c r="A230" s="24"/>
      <c r="B230" s="36" t="s">
        <v>34</v>
      </c>
      <c r="C230" s="37">
        <v>45700.0</v>
      </c>
      <c r="F230" s="38">
        <v>0.5</v>
      </c>
      <c r="I230" s="39" t="s">
        <v>596</v>
      </c>
      <c r="S230" s="39" t="s">
        <v>602</v>
      </c>
      <c r="AE230" s="40">
        <v>0.06944444444444445</v>
      </c>
      <c r="AG230" s="39" t="s">
        <v>603</v>
      </c>
      <c r="AJ230" s="41" t="s">
        <v>604</v>
      </c>
      <c r="AL230" s="42" t="s">
        <v>45</v>
      </c>
      <c r="AP230" s="43" t="str">
        <f t="shared" si="2"/>
        <v>REALIZADO</v>
      </c>
      <c r="AV230" s="44" t="s">
        <v>46</v>
      </c>
      <c r="AW230" s="45"/>
      <c r="AX230" s="35"/>
    </row>
    <row r="231">
      <c r="A231" s="24"/>
      <c r="B231" s="36" t="s">
        <v>34</v>
      </c>
      <c r="C231" s="37">
        <v>45700.0</v>
      </c>
      <c r="F231" s="38">
        <v>0.6111111111111112</v>
      </c>
      <c r="I231" s="39" t="s">
        <v>605</v>
      </c>
      <c r="S231" s="39" t="s">
        <v>606</v>
      </c>
      <c r="AE231" s="40">
        <v>0.06944444444444445</v>
      </c>
      <c r="AG231" s="39" t="s">
        <v>603</v>
      </c>
      <c r="AJ231" s="41" t="s">
        <v>604</v>
      </c>
      <c r="AL231" s="42" t="s">
        <v>45</v>
      </c>
      <c r="AP231" s="43" t="str">
        <f t="shared" si="2"/>
        <v>REALIZADO</v>
      </c>
      <c r="AV231" s="44" t="s">
        <v>46</v>
      </c>
      <c r="AW231" s="45"/>
      <c r="AX231" s="35"/>
    </row>
    <row r="232">
      <c r="A232" s="24"/>
      <c r="B232" s="36" t="s">
        <v>34</v>
      </c>
      <c r="C232" s="37">
        <v>45700.0</v>
      </c>
      <c r="F232" s="38">
        <v>0.75</v>
      </c>
      <c r="I232" s="39" t="s">
        <v>605</v>
      </c>
      <c r="S232" s="39" t="s">
        <v>607</v>
      </c>
      <c r="AE232" s="40">
        <v>0.1388888888888889</v>
      </c>
      <c r="AG232" s="39" t="s">
        <v>598</v>
      </c>
      <c r="AJ232" s="41" t="s">
        <v>599</v>
      </c>
      <c r="AL232" s="42" t="s">
        <v>45</v>
      </c>
      <c r="AP232" s="43" t="str">
        <f t="shared" si="2"/>
        <v>REALIZADO</v>
      </c>
      <c r="AV232" s="44" t="s">
        <v>46</v>
      </c>
      <c r="AW232" s="45"/>
      <c r="AX232" s="35"/>
    </row>
    <row r="233">
      <c r="A233" s="24"/>
      <c r="B233" s="36" t="s">
        <v>41</v>
      </c>
      <c r="C233" s="37">
        <v>45701.0</v>
      </c>
      <c r="F233" s="38">
        <v>0.5</v>
      </c>
      <c r="I233" s="39" t="s">
        <v>608</v>
      </c>
      <c r="S233" s="39" t="s">
        <v>233</v>
      </c>
      <c r="AE233" s="40">
        <v>0.041666666666666664</v>
      </c>
      <c r="AG233" s="39" t="s">
        <v>119</v>
      </c>
      <c r="AJ233" s="41" t="s">
        <v>609</v>
      </c>
      <c r="AL233" s="42" t="s">
        <v>45</v>
      </c>
      <c r="AP233" s="43" t="str">
        <f t="shared" si="2"/>
        <v>REALIZADO</v>
      </c>
      <c r="AV233" s="44" t="s">
        <v>46</v>
      </c>
      <c r="AW233" s="45"/>
      <c r="AX233" s="35"/>
    </row>
    <row r="234">
      <c r="A234" s="24"/>
      <c r="B234" s="36" t="s">
        <v>41</v>
      </c>
      <c r="C234" s="37">
        <v>45701.0</v>
      </c>
      <c r="F234" s="38">
        <v>0.75</v>
      </c>
      <c r="I234" s="39" t="s">
        <v>610</v>
      </c>
      <c r="S234" s="39" t="s">
        <v>233</v>
      </c>
      <c r="AE234" s="40">
        <v>0.020833333333333332</v>
      </c>
      <c r="AG234" s="39" t="s">
        <v>67</v>
      </c>
      <c r="AJ234" s="41" t="s">
        <v>601</v>
      </c>
      <c r="AL234" s="42" t="s">
        <v>56</v>
      </c>
      <c r="AP234" s="43" t="str">
        <f t="shared" si="2"/>
        <v>REALIZADO</v>
      </c>
      <c r="AV234" s="44" t="s">
        <v>46</v>
      </c>
      <c r="AW234" s="45"/>
      <c r="AX234" s="35"/>
    </row>
    <row r="235">
      <c r="A235" s="24"/>
      <c r="B235" s="36" t="s">
        <v>34</v>
      </c>
      <c r="C235" s="37">
        <v>45702.0</v>
      </c>
      <c r="F235" s="38">
        <v>0.4583333333333333</v>
      </c>
      <c r="I235" s="39" t="s">
        <v>611</v>
      </c>
      <c r="S235" s="39" t="s">
        <v>612</v>
      </c>
      <c r="AE235" s="40">
        <v>0.24305555555555555</v>
      </c>
      <c r="AG235" s="39" t="s">
        <v>613</v>
      </c>
      <c r="AJ235" s="41" t="s">
        <v>614</v>
      </c>
      <c r="AL235" s="42" t="s">
        <v>53</v>
      </c>
      <c r="AP235" s="43" t="str">
        <f t="shared" si="2"/>
        <v>REALIZADO</v>
      </c>
      <c r="AV235" s="44" t="s">
        <v>46</v>
      </c>
      <c r="AW235" s="45"/>
      <c r="AX235" s="35"/>
    </row>
    <row r="236">
      <c r="A236" s="24"/>
      <c r="B236" s="36" t="s">
        <v>41</v>
      </c>
      <c r="C236" s="37">
        <v>45702.0</v>
      </c>
      <c r="F236" s="38">
        <v>0.4583333333333333</v>
      </c>
      <c r="I236" s="39" t="s">
        <v>615</v>
      </c>
      <c r="S236" s="39" t="s">
        <v>233</v>
      </c>
      <c r="AE236" s="40">
        <v>0.041666666666666664</v>
      </c>
      <c r="AG236" s="39" t="s">
        <v>119</v>
      </c>
      <c r="AJ236" s="41" t="s">
        <v>616</v>
      </c>
      <c r="AL236" s="42" t="s">
        <v>45</v>
      </c>
      <c r="AP236" s="43" t="str">
        <f t="shared" si="2"/>
        <v>REALIZADO</v>
      </c>
      <c r="AV236" s="44" t="s">
        <v>46</v>
      </c>
      <c r="AW236" s="45"/>
      <c r="AX236" s="35"/>
    </row>
    <row r="237">
      <c r="A237" s="24"/>
      <c r="B237" s="36" t="s">
        <v>34</v>
      </c>
      <c r="C237" s="37">
        <v>45704.0</v>
      </c>
      <c r="F237" s="38">
        <v>0.5</v>
      </c>
      <c r="I237" s="39" t="s">
        <v>617</v>
      </c>
      <c r="S237" s="39" t="s">
        <v>618</v>
      </c>
      <c r="AE237" s="40">
        <v>0.2013888888888889</v>
      </c>
      <c r="AG237" s="39" t="s">
        <v>619</v>
      </c>
      <c r="AJ237" s="41" t="s">
        <v>620</v>
      </c>
      <c r="AL237" s="42" t="s">
        <v>82</v>
      </c>
      <c r="AP237" s="43" t="str">
        <f t="shared" si="2"/>
        <v>REALIZADO</v>
      </c>
      <c r="AV237" s="44" t="s">
        <v>46</v>
      </c>
      <c r="AW237" s="45"/>
      <c r="AX237" s="35"/>
    </row>
    <row r="238">
      <c r="A238" s="24"/>
      <c r="B238" s="36" t="s">
        <v>34</v>
      </c>
      <c r="C238" s="37">
        <v>45704.0</v>
      </c>
      <c r="F238" s="38">
        <v>0.875</v>
      </c>
      <c r="I238" s="39" t="s">
        <v>621</v>
      </c>
      <c r="S238" s="39" t="s">
        <v>622</v>
      </c>
      <c r="AE238" s="40">
        <v>0.4444444444444444</v>
      </c>
      <c r="AG238" s="39" t="s">
        <v>623</v>
      </c>
      <c r="AJ238" s="41" t="s">
        <v>624</v>
      </c>
      <c r="AL238" s="42" t="s">
        <v>53</v>
      </c>
      <c r="AP238" s="43" t="str">
        <f t="shared" si="2"/>
        <v>REALIZADO</v>
      </c>
      <c r="AV238" s="44" t="s">
        <v>46</v>
      </c>
      <c r="AW238" s="45"/>
      <c r="AX238" s="35"/>
    </row>
    <row r="239">
      <c r="A239" s="24"/>
      <c r="B239" s="36" t="s">
        <v>41</v>
      </c>
      <c r="C239" s="37">
        <v>45705.0</v>
      </c>
      <c r="F239" s="38">
        <v>0.4583333333333333</v>
      </c>
      <c r="I239" s="39" t="s">
        <v>625</v>
      </c>
      <c r="S239" s="39" t="s">
        <v>44</v>
      </c>
      <c r="AE239" s="40">
        <v>0.08333333333333333</v>
      </c>
      <c r="AG239" s="39" t="s">
        <v>626</v>
      </c>
      <c r="AJ239" s="41" t="s">
        <v>44</v>
      </c>
      <c r="AL239" s="42" t="s">
        <v>45</v>
      </c>
      <c r="AP239" s="43" t="str">
        <f t="shared" si="2"/>
        <v>REALIZADO</v>
      </c>
      <c r="AV239" s="44" t="s">
        <v>46</v>
      </c>
      <c r="AW239" s="45"/>
      <c r="AX239" s="35"/>
    </row>
    <row r="240">
      <c r="A240" s="24"/>
      <c r="B240" s="36" t="s">
        <v>41</v>
      </c>
      <c r="C240" s="37">
        <v>45705.0</v>
      </c>
      <c r="F240" s="38">
        <v>0.5416666666666666</v>
      </c>
      <c r="I240" s="39" t="s">
        <v>627</v>
      </c>
      <c r="S240" s="39" t="s">
        <v>44</v>
      </c>
      <c r="AE240" s="40">
        <v>0.08333333333333333</v>
      </c>
      <c r="AG240" s="39" t="s">
        <v>626</v>
      </c>
      <c r="AJ240" s="41" t="s">
        <v>44</v>
      </c>
      <c r="AL240" s="42" t="s">
        <v>45</v>
      </c>
      <c r="AP240" s="43" t="str">
        <f t="shared" si="2"/>
        <v>REALIZADO</v>
      </c>
      <c r="AV240" s="44" t="s">
        <v>46</v>
      </c>
      <c r="AW240" s="45"/>
      <c r="AX240" s="35"/>
    </row>
    <row r="241">
      <c r="A241" s="24"/>
      <c r="B241" s="36" t="s">
        <v>41</v>
      </c>
      <c r="C241" s="37">
        <v>45705.0</v>
      </c>
      <c r="F241" s="38">
        <v>0.6666666666666666</v>
      </c>
      <c r="I241" s="39" t="s">
        <v>628</v>
      </c>
      <c r="S241" s="39" t="s">
        <v>44</v>
      </c>
      <c r="AE241" s="40">
        <v>0.08333333333333333</v>
      </c>
      <c r="AG241" s="39" t="s">
        <v>626</v>
      </c>
      <c r="AJ241" s="41" t="s">
        <v>44</v>
      </c>
      <c r="AL241" s="42" t="s">
        <v>56</v>
      </c>
      <c r="AP241" s="43" t="str">
        <f t="shared" si="2"/>
        <v>REALIZADO</v>
      </c>
      <c r="AV241" s="44" t="s">
        <v>46</v>
      </c>
      <c r="AW241" s="45"/>
      <c r="AX241" s="35"/>
    </row>
    <row r="242">
      <c r="A242" s="24"/>
      <c r="B242" s="36" t="s">
        <v>41</v>
      </c>
      <c r="C242" s="37">
        <v>45705.0</v>
      </c>
      <c r="F242" s="38">
        <v>0.75</v>
      </c>
      <c r="I242" s="39" t="s">
        <v>629</v>
      </c>
      <c r="S242" s="39" t="s">
        <v>44</v>
      </c>
      <c r="AE242" s="40">
        <v>0.08333333333333333</v>
      </c>
      <c r="AG242" s="39" t="s">
        <v>626</v>
      </c>
      <c r="AJ242" s="41" t="s">
        <v>44</v>
      </c>
      <c r="AL242" s="42" t="s">
        <v>56</v>
      </c>
      <c r="AP242" s="43" t="str">
        <f t="shared" si="2"/>
        <v>REALIZADO</v>
      </c>
      <c r="AV242" s="44" t="s">
        <v>46</v>
      </c>
      <c r="AW242" s="45"/>
      <c r="AX242" s="35"/>
    </row>
    <row r="243">
      <c r="A243" s="24"/>
      <c r="B243" s="36" t="s">
        <v>41</v>
      </c>
      <c r="C243" s="37">
        <v>45706.0</v>
      </c>
      <c r="F243" s="38">
        <v>0.4583333333333333</v>
      </c>
      <c r="I243" s="39" t="s">
        <v>625</v>
      </c>
      <c r="S243" s="39" t="s">
        <v>44</v>
      </c>
      <c r="AE243" s="40">
        <v>0.041666666666666664</v>
      </c>
      <c r="AG243" s="39" t="s">
        <v>626</v>
      </c>
      <c r="AJ243" s="41" t="s">
        <v>44</v>
      </c>
      <c r="AL243" s="42" t="s">
        <v>56</v>
      </c>
      <c r="AP243" s="43" t="str">
        <f t="shared" si="2"/>
        <v>REALIZADO</v>
      </c>
      <c r="AV243" s="44" t="s">
        <v>46</v>
      </c>
      <c r="AW243" s="45"/>
      <c r="AX243" s="35"/>
    </row>
    <row r="244">
      <c r="A244" s="24"/>
      <c r="B244" s="36" t="s">
        <v>41</v>
      </c>
      <c r="C244" s="37">
        <v>45706.0</v>
      </c>
      <c r="F244" s="38">
        <v>0.5</v>
      </c>
      <c r="I244" s="39" t="s">
        <v>630</v>
      </c>
      <c r="S244" s="39" t="s">
        <v>44</v>
      </c>
      <c r="AE244" s="40">
        <v>0.08333333333333333</v>
      </c>
      <c r="AG244" s="39" t="s">
        <v>626</v>
      </c>
      <c r="AJ244" s="41" t="s">
        <v>44</v>
      </c>
      <c r="AL244" s="42" t="s">
        <v>512</v>
      </c>
      <c r="AP244" s="43" t="str">
        <f t="shared" si="2"/>
        <v>REALIZADO</v>
      </c>
      <c r="AV244" s="44" t="s">
        <v>46</v>
      </c>
      <c r="AW244" s="45"/>
      <c r="AX244" s="35"/>
    </row>
    <row r="245">
      <c r="A245" s="24"/>
      <c r="B245" s="36" t="s">
        <v>41</v>
      </c>
      <c r="C245" s="37">
        <v>45706.0</v>
      </c>
      <c r="F245" s="38">
        <v>0.5416666666666666</v>
      </c>
      <c r="I245" s="39" t="s">
        <v>631</v>
      </c>
      <c r="S245" s="39" t="s">
        <v>44</v>
      </c>
      <c r="AE245" s="40">
        <v>0.08333333333333333</v>
      </c>
      <c r="AG245" s="39" t="s">
        <v>626</v>
      </c>
      <c r="AJ245" s="41" t="s">
        <v>44</v>
      </c>
      <c r="AL245" s="42" t="s">
        <v>512</v>
      </c>
      <c r="AP245" s="43" t="str">
        <f t="shared" si="2"/>
        <v>REALIZADO</v>
      </c>
      <c r="AV245" s="44" t="s">
        <v>46</v>
      </c>
      <c r="AW245" s="45"/>
      <c r="AX245" s="35"/>
    </row>
    <row r="246">
      <c r="A246" s="24"/>
      <c r="B246" s="36" t="s">
        <v>34</v>
      </c>
      <c r="C246" s="37">
        <v>45706.0</v>
      </c>
      <c r="F246" s="38">
        <v>0.7083333333333334</v>
      </c>
      <c r="I246" s="39" t="s">
        <v>632</v>
      </c>
      <c r="S246" s="39" t="s">
        <v>633</v>
      </c>
      <c r="AE246" s="40">
        <v>0.3263888888888889</v>
      </c>
      <c r="AG246" s="39" t="s">
        <v>634</v>
      </c>
      <c r="AJ246" s="41" t="s">
        <v>635</v>
      </c>
      <c r="AL246" s="42" t="s">
        <v>53</v>
      </c>
      <c r="AP246" s="43" t="str">
        <f t="shared" si="2"/>
        <v>REALIZADO</v>
      </c>
      <c r="AV246" s="44" t="s">
        <v>46</v>
      </c>
      <c r="AW246" s="45"/>
      <c r="AX246" s="35"/>
    </row>
    <row r="247">
      <c r="A247" s="24"/>
      <c r="B247" s="36" t="s">
        <v>41</v>
      </c>
      <c r="C247" s="37">
        <v>45706.0</v>
      </c>
      <c r="F247" s="38">
        <v>0.8333333333333334</v>
      </c>
      <c r="I247" s="39" t="s">
        <v>636</v>
      </c>
      <c r="S247" s="39" t="s">
        <v>637</v>
      </c>
      <c r="AE247" s="40">
        <v>0.0625</v>
      </c>
      <c r="AG247" s="39" t="s">
        <v>119</v>
      </c>
      <c r="AJ247" s="41" t="s">
        <v>638</v>
      </c>
      <c r="AL247" s="42" t="s">
        <v>557</v>
      </c>
      <c r="AP247" s="43" t="str">
        <f t="shared" si="2"/>
        <v>REALIZADO</v>
      </c>
      <c r="AV247" s="44" t="s">
        <v>46</v>
      </c>
      <c r="AW247" s="45"/>
      <c r="AX247" s="35"/>
    </row>
    <row r="248">
      <c r="A248" s="24"/>
      <c r="B248" s="36" t="s">
        <v>41</v>
      </c>
      <c r="C248" s="37">
        <v>45706.0</v>
      </c>
      <c r="F248" s="38">
        <v>0.8333333333333334</v>
      </c>
      <c r="I248" s="39" t="s">
        <v>639</v>
      </c>
      <c r="S248" s="39" t="s">
        <v>640</v>
      </c>
      <c r="AE248" s="40">
        <v>0.0625</v>
      </c>
      <c r="AG248" s="39" t="s">
        <v>119</v>
      </c>
      <c r="AJ248" s="41" t="s">
        <v>641</v>
      </c>
      <c r="AL248" s="42" t="s">
        <v>56</v>
      </c>
      <c r="AP248" s="43" t="str">
        <f t="shared" si="2"/>
        <v>REALIZADO</v>
      </c>
      <c r="AV248" s="44" t="s">
        <v>46</v>
      </c>
      <c r="AW248" s="45"/>
      <c r="AX248" s="35"/>
    </row>
    <row r="249">
      <c r="A249" s="24"/>
      <c r="B249" s="36" t="s">
        <v>41</v>
      </c>
      <c r="C249" s="37">
        <v>45706.0</v>
      </c>
      <c r="F249" s="38">
        <v>0.9166666666666666</v>
      </c>
      <c r="I249" s="39" t="s">
        <v>642</v>
      </c>
      <c r="S249" s="39" t="s">
        <v>268</v>
      </c>
      <c r="AE249" s="40">
        <v>0.041666666666666664</v>
      </c>
      <c r="AG249" s="39" t="s">
        <v>119</v>
      </c>
      <c r="AJ249" s="41" t="s">
        <v>643</v>
      </c>
      <c r="AL249" s="42" t="s">
        <v>56</v>
      </c>
      <c r="AP249" s="43" t="str">
        <f t="shared" si="2"/>
        <v>REALIZADO</v>
      </c>
      <c r="AV249" s="44" t="s">
        <v>46</v>
      </c>
      <c r="AW249" s="45"/>
      <c r="AX249" s="35"/>
    </row>
    <row r="250">
      <c r="A250" s="24"/>
      <c r="B250" s="36" t="s">
        <v>41</v>
      </c>
      <c r="C250" s="37">
        <v>45707.0</v>
      </c>
      <c r="F250" s="38">
        <v>0.5</v>
      </c>
      <c r="I250" s="39" t="s">
        <v>644</v>
      </c>
      <c r="S250" s="39" t="s">
        <v>414</v>
      </c>
      <c r="AE250" s="40">
        <v>0.041666666666666664</v>
      </c>
      <c r="AG250" s="39" t="s">
        <v>119</v>
      </c>
      <c r="AJ250" s="41" t="s">
        <v>44</v>
      </c>
      <c r="AL250" s="42" t="s">
        <v>414</v>
      </c>
      <c r="AP250" s="43" t="str">
        <f t="shared" si="2"/>
        <v>REALIZADO</v>
      </c>
      <c r="AV250" s="44" t="s">
        <v>46</v>
      </c>
      <c r="AW250" s="45"/>
      <c r="AX250" s="35"/>
    </row>
    <row r="251">
      <c r="A251" s="24"/>
      <c r="B251" s="36" t="s">
        <v>41</v>
      </c>
      <c r="C251" s="37">
        <v>45707.0</v>
      </c>
      <c r="F251" s="38">
        <v>0.5416666666666666</v>
      </c>
      <c r="I251" s="39" t="s">
        <v>645</v>
      </c>
      <c r="S251" s="39" t="s">
        <v>414</v>
      </c>
      <c r="AE251" s="40">
        <v>0.041666666666666664</v>
      </c>
      <c r="AG251" s="39" t="s">
        <v>119</v>
      </c>
      <c r="AJ251" s="41" t="s">
        <v>44</v>
      </c>
      <c r="AL251" s="42" t="s">
        <v>414</v>
      </c>
      <c r="AP251" s="43" t="str">
        <f t="shared" si="2"/>
        <v>REALIZADO</v>
      </c>
      <c r="AV251" s="44" t="s">
        <v>46</v>
      </c>
      <c r="AW251" s="45"/>
      <c r="AX251" s="35"/>
    </row>
    <row r="252">
      <c r="A252" s="24"/>
      <c r="B252" s="36" t="s">
        <v>41</v>
      </c>
      <c r="C252" s="37">
        <v>45707.0</v>
      </c>
      <c r="F252" s="38">
        <v>0.7291666666666666</v>
      </c>
      <c r="I252" s="39" t="s">
        <v>646</v>
      </c>
      <c r="S252" s="39" t="s">
        <v>66</v>
      </c>
      <c r="AE252" s="40">
        <v>0.041666666666666664</v>
      </c>
      <c r="AG252" s="39" t="s">
        <v>67</v>
      </c>
      <c r="AJ252" s="41" t="s">
        <v>647</v>
      </c>
      <c r="AL252" s="42" t="s">
        <v>68</v>
      </c>
      <c r="AP252" s="43" t="str">
        <f t="shared" si="2"/>
        <v>ABORTIVA</v>
      </c>
      <c r="AV252" s="44" t="s">
        <v>98</v>
      </c>
      <c r="AW252" s="45"/>
      <c r="AX252" s="35"/>
    </row>
    <row r="253">
      <c r="A253" s="24"/>
      <c r="B253" s="36" t="s">
        <v>41</v>
      </c>
      <c r="C253" s="37">
        <v>45708.0</v>
      </c>
      <c r="F253" s="38">
        <v>0.4166666666666667</v>
      </c>
      <c r="I253" s="39" t="s">
        <v>648</v>
      </c>
      <c r="S253" s="39" t="s">
        <v>185</v>
      </c>
      <c r="AE253" s="40">
        <v>0.003472222222222222</v>
      </c>
      <c r="AG253" s="39" t="s">
        <v>649</v>
      </c>
      <c r="AJ253" s="41" t="s">
        <v>650</v>
      </c>
      <c r="AL253" s="42" t="s">
        <v>68</v>
      </c>
      <c r="AP253" s="43" t="str">
        <f t="shared" si="2"/>
        <v>REALIZADO</v>
      </c>
      <c r="AV253" s="44" t="s">
        <v>46</v>
      </c>
      <c r="AW253" s="45"/>
      <c r="AX253" s="35"/>
    </row>
    <row r="254">
      <c r="A254" s="24"/>
      <c r="B254" s="36" t="s">
        <v>41</v>
      </c>
      <c r="C254" s="37">
        <v>45708.0</v>
      </c>
      <c r="F254" s="38">
        <v>0.4375</v>
      </c>
      <c r="I254" s="39" t="s">
        <v>651</v>
      </c>
      <c r="S254" s="39" t="s">
        <v>182</v>
      </c>
      <c r="AE254" s="40">
        <v>0.0625</v>
      </c>
      <c r="AG254" s="39" t="s">
        <v>652</v>
      </c>
      <c r="AJ254" s="41" t="s">
        <v>653</v>
      </c>
      <c r="AL254" s="42" t="s">
        <v>56</v>
      </c>
      <c r="AP254" s="43" t="str">
        <f t="shared" si="2"/>
        <v>REALIZADO</v>
      </c>
      <c r="AV254" s="44" t="s">
        <v>46</v>
      </c>
      <c r="AW254" s="45"/>
      <c r="AX254" s="35"/>
    </row>
    <row r="255">
      <c r="A255" s="24"/>
      <c r="B255" s="36" t="s">
        <v>41</v>
      </c>
      <c r="C255" s="37">
        <v>45708.0</v>
      </c>
      <c r="F255" s="38">
        <v>0.5416666666666666</v>
      </c>
      <c r="I255" s="39" t="s">
        <v>654</v>
      </c>
      <c r="S255" s="39" t="s">
        <v>182</v>
      </c>
      <c r="AE255" s="40">
        <v>0.0625</v>
      </c>
      <c r="AG255" s="39" t="s">
        <v>652</v>
      </c>
      <c r="AJ255" s="41" t="s">
        <v>655</v>
      </c>
      <c r="AL255" s="42" t="s">
        <v>56</v>
      </c>
      <c r="AP255" s="43" t="str">
        <f t="shared" si="2"/>
        <v>REALIZADO</v>
      </c>
      <c r="AV255" s="44" t="s">
        <v>46</v>
      </c>
      <c r="AW255" s="45"/>
      <c r="AX255" s="35"/>
    </row>
    <row r="256">
      <c r="A256" s="24"/>
      <c r="B256" s="36" t="s">
        <v>41</v>
      </c>
      <c r="C256" s="37">
        <v>45708.0</v>
      </c>
      <c r="F256" s="38">
        <v>0.75</v>
      </c>
      <c r="I256" s="39" t="s">
        <v>656</v>
      </c>
      <c r="S256" s="39" t="s">
        <v>182</v>
      </c>
      <c r="AE256" s="40">
        <v>0.041666666666666664</v>
      </c>
      <c r="AG256" s="39" t="s">
        <v>657</v>
      </c>
      <c r="AJ256" s="41" t="s">
        <v>658</v>
      </c>
      <c r="AL256" s="42" t="s">
        <v>68</v>
      </c>
      <c r="AP256" s="43" t="str">
        <f t="shared" si="2"/>
        <v>REALIZADO</v>
      </c>
      <c r="AV256" s="44" t="s">
        <v>46</v>
      </c>
      <c r="AW256" s="45"/>
      <c r="AX256" s="35"/>
    </row>
    <row r="257">
      <c r="A257" s="24"/>
      <c r="B257" s="36" t="s">
        <v>34</v>
      </c>
      <c r="C257" s="37">
        <v>45709.0</v>
      </c>
      <c r="F257" s="38">
        <v>0.08333333333333333</v>
      </c>
      <c r="I257" s="39" t="s">
        <v>659</v>
      </c>
      <c r="S257" s="39" t="s">
        <v>357</v>
      </c>
      <c r="AE257" s="40">
        <v>0.16666666666666666</v>
      </c>
      <c r="AG257" s="39" t="s">
        <v>660</v>
      </c>
      <c r="AJ257" s="41" t="s">
        <v>661</v>
      </c>
      <c r="AL257" s="42" t="s">
        <v>53</v>
      </c>
      <c r="AP257" s="43" t="str">
        <f t="shared" si="2"/>
        <v>REALIZADO</v>
      </c>
      <c r="AV257" s="44" t="s">
        <v>46</v>
      </c>
      <c r="AW257" s="45"/>
      <c r="AX257" s="35"/>
    </row>
    <row r="258">
      <c r="A258" s="24"/>
      <c r="B258" s="36" t="s">
        <v>34</v>
      </c>
      <c r="C258" s="37">
        <v>45709.0</v>
      </c>
      <c r="F258" s="38">
        <v>0.5</v>
      </c>
      <c r="I258" s="39" t="s">
        <v>662</v>
      </c>
      <c r="S258" s="39" t="s">
        <v>464</v>
      </c>
      <c r="AE258" s="40">
        <v>0.14930555555555555</v>
      </c>
      <c r="AG258" s="39" t="s">
        <v>663</v>
      </c>
      <c r="AJ258" s="41" t="s">
        <v>664</v>
      </c>
      <c r="AL258" s="42" t="s">
        <v>68</v>
      </c>
      <c r="AP258" s="43" t="str">
        <f t="shared" si="2"/>
        <v>REALIZADO</v>
      </c>
      <c r="AV258" s="44" t="s">
        <v>46</v>
      </c>
      <c r="AW258" s="45"/>
      <c r="AX258" s="35"/>
    </row>
    <row r="259">
      <c r="A259" s="24"/>
      <c r="B259" s="36" t="s">
        <v>41</v>
      </c>
      <c r="C259" s="37">
        <v>45709.0</v>
      </c>
      <c r="F259" s="38">
        <v>0.4375</v>
      </c>
      <c r="I259" s="39" t="s">
        <v>665</v>
      </c>
      <c r="S259" s="39" t="s">
        <v>182</v>
      </c>
      <c r="AE259" s="40">
        <v>0.0625</v>
      </c>
      <c r="AG259" s="39" t="s">
        <v>652</v>
      </c>
      <c r="AJ259" s="41" t="s">
        <v>666</v>
      </c>
      <c r="AL259" s="42" t="s">
        <v>56</v>
      </c>
      <c r="AP259" s="43" t="str">
        <f t="shared" si="2"/>
        <v>REALIZADO</v>
      </c>
      <c r="AV259" s="44" t="s">
        <v>46</v>
      </c>
      <c r="AW259" s="45"/>
      <c r="AX259" s="35"/>
    </row>
    <row r="260">
      <c r="A260" s="24"/>
      <c r="B260" s="36" t="s">
        <v>41</v>
      </c>
      <c r="C260" s="37">
        <v>45709.0</v>
      </c>
      <c r="F260" s="38">
        <v>0.5416666666666666</v>
      </c>
      <c r="I260" s="39" t="s">
        <v>667</v>
      </c>
      <c r="S260" s="39" t="s">
        <v>182</v>
      </c>
      <c r="AE260" s="40">
        <v>0.0625</v>
      </c>
      <c r="AG260" s="39" t="s">
        <v>652</v>
      </c>
      <c r="AJ260" s="41" t="s">
        <v>668</v>
      </c>
      <c r="AL260" s="42" t="s">
        <v>56</v>
      </c>
      <c r="AP260" s="43" t="str">
        <f t="shared" si="2"/>
        <v>REALIZADO</v>
      </c>
      <c r="AV260" s="44" t="s">
        <v>46</v>
      </c>
      <c r="AW260" s="45"/>
      <c r="AX260" s="35"/>
    </row>
    <row r="261">
      <c r="A261" s="24"/>
      <c r="B261" s="36" t="s">
        <v>41</v>
      </c>
      <c r="C261" s="37">
        <v>45709.0</v>
      </c>
      <c r="F261" s="38">
        <v>0.7708333333333334</v>
      </c>
      <c r="I261" s="39" t="s">
        <v>669</v>
      </c>
      <c r="S261" s="39" t="s">
        <v>182</v>
      </c>
      <c r="AE261" s="40">
        <v>0.041666666666666664</v>
      </c>
      <c r="AG261" s="39" t="s">
        <v>657</v>
      </c>
      <c r="AJ261" s="41" t="s">
        <v>670</v>
      </c>
      <c r="AL261" s="42" t="s">
        <v>68</v>
      </c>
      <c r="AP261" s="43" t="str">
        <f t="shared" si="2"/>
        <v>REALIZADO</v>
      </c>
      <c r="AV261" s="44" t="s">
        <v>46</v>
      </c>
      <c r="AW261" s="45"/>
      <c r="AX261" s="35"/>
    </row>
    <row r="262">
      <c r="A262" s="24"/>
      <c r="B262" s="36" t="s">
        <v>34</v>
      </c>
      <c r="C262" s="37">
        <v>45711.0</v>
      </c>
      <c r="F262" s="38">
        <v>0.4583333333333333</v>
      </c>
      <c r="I262" s="39" t="s">
        <v>671</v>
      </c>
      <c r="S262" s="39" t="s">
        <v>672</v>
      </c>
      <c r="AE262" s="40">
        <v>0.4236111111111111</v>
      </c>
      <c r="AG262" s="39" t="s">
        <v>673</v>
      </c>
      <c r="AJ262" s="41" t="s">
        <v>44</v>
      </c>
      <c r="AL262" s="42" t="s">
        <v>53</v>
      </c>
      <c r="AP262" s="43" t="str">
        <f t="shared" si="2"/>
        <v>ABORTIVA</v>
      </c>
      <c r="AV262" s="44" t="s">
        <v>69</v>
      </c>
      <c r="AW262" s="45"/>
      <c r="AX262" s="35"/>
    </row>
    <row r="263">
      <c r="A263" s="24"/>
      <c r="B263" s="36" t="s">
        <v>34</v>
      </c>
      <c r="C263" s="37">
        <v>45711.0</v>
      </c>
      <c r="F263" s="38">
        <v>0.5416666666666666</v>
      </c>
      <c r="I263" s="39" t="s">
        <v>674</v>
      </c>
      <c r="S263" s="39" t="s">
        <v>675</v>
      </c>
      <c r="AE263" s="40"/>
      <c r="AG263" s="39" t="s">
        <v>676</v>
      </c>
      <c r="AJ263" s="41" t="s">
        <v>677</v>
      </c>
      <c r="AL263" s="42" t="s">
        <v>68</v>
      </c>
      <c r="AP263" s="43" t="str">
        <f t="shared" si="2"/>
        <v>REALIZADO</v>
      </c>
      <c r="AV263" s="44" t="s">
        <v>46</v>
      </c>
      <c r="AW263" s="45"/>
      <c r="AX263" s="35"/>
    </row>
    <row r="264">
      <c r="A264" s="24"/>
      <c r="B264" s="36" t="s">
        <v>41</v>
      </c>
      <c r="C264" s="37">
        <v>45712.0</v>
      </c>
      <c r="F264" s="38">
        <v>0.4375</v>
      </c>
      <c r="I264" s="39" t="s">
        <v>678</v>
      </c>
      <c r="S264" s="39" t="s">
        <v>182</v>
      </c>
      <c r="AE264" s="40">
        <v>0.0625</v>
      </c>
      <c r="AG264" s="39" t="s">
        <v>652</v>
      </c>
      <c r="AJ264" s="41" t="s">
        <v>679</v>
      </c>
      <c r="AL264" s="42" t="s">
        <v>56</v>
      </c>
      <c r="AP264" s="43" t="str">
        <f t="shared" si="2"/>
        <v>REALIZADO</v>
      </c>
      <c r="AV264" s="44" t="s">
        <v>46</v>
      </c>
      <c r="AW264" s="45"/>
      <c r="AX264" s="35"/>
    </row>
    <row r="265">
      <c r="A265" s="24"/>
      <c r="B265" s="36" t="s">
        <v>41</v>
      </c>
      <c r="C265" s="37">
        <v>45712.0</v>
      </c>
      <c r="F265" s="38">
        <v>0.5416666666666666</v>
      </c>
      <c r="I265" s="39" t="s">
        <v>680</v>
      </c>
      <c r="S265" s="39" t="s">
        <v>681</v>
      </c>
      <c r="AE265" s="40">
        <v>0.0625</v>
      </c>
      <c r="AG265" s="39" t="s">
        <v>682</v>
      </c>
      <c r="AJ265" s="41" t="s">
        <v>683</v>
      </c>
      <c r="AL265" s="42" t="s">
        <v>56</v>
      </c>
      <c r="AP265" s="43" t="str">
        <f t="shared" si="2"/>
        <v>REALIZADO</v>
      </c>
      <c r="AV265" s="44" t="s">
        <v>46</v>
      </c>
      <c r="AW265" s="45"/>
      <c r="AX265" s="35"/>
    </row>
    <row r="266">
      <c r="A266" s="24"/>
      <c r="B266" s="36" t="s">
        <v>41</v>
      </c>
      <c r="C266" s="37">
        <v>45712.0</v>
      </c>
      <c r="F266" s="38">
        <v>0.7708333333333334</v>
      </c>
      <c r="I266" s="39" t="s">
        <v>684</v>
      </c>
      <c r="S266" s="39" t="s">
        <v>185</v>
      </c>
      <c r="AE266" s="40">
        <v>0.003472222222222222</v>
      </c>
      <c r="AG266" s="39" t="s">
        <v>44</v>
      </c>
      <c r="AJ266" s="41" t="s">
        <v>685</v>
      </c>
      <c r="AL266" s="42" t="s">
        <v>53</v>
      </c>
      <c r="AP266" s="43" t="str">
        <f t="shared" si="2"/>
        <v>REALIZADO</v>
      </c>
      <c r="AV266" s="44" t="s">
        <v>46</v>
      </c>
      <c r="AW266" s="45"/>
      <c r="AX266" s="35"/>
    </row>
    <row r="267">
      <c r="A267" s="24"/>
      <c r="B267" s="36" t="s">
        <v>41</v>
      </c>
      <c r="C267" s="37">
        <v>45712.0</v>
      </c>
      <c r="F267" s="38">
        <v>0.8645833333333334</v>
      </c>
      <c r="I267" s="39" t="s">
        <v>686</v>
      </c>
      <c r="S267" s="39" t="s">
        <v>687</v>
      </c>
      <c r="AE267" s="40">
        <v>0.041666666666666664</v>
      </c>
      <c r="AG267" s="39" t="s">
        <v>688</v>
      </c>
      <c r="AJ267" s="41" t="s">
        <v>689</v>
      </c>
      <c r="AL267" s="42" t="s">
        <v>68</v>
      </c>
      <c r="AP267" s="43" t="str">
        <f t="shared" si="2"/>
        <v>REALIZADO</v>
      </c>
      <c r="AV267" s="44" t="s">
        <v>46</v>
      </c>
      <c r="AW267" s="45"/>
      <c r="AX267" s="35"/>
    </row>
    <row r="268">
      <c r="A268" s="24"/>
      <c r="B268" s="36" t="s">
        <v>41</v>
      </c>
      <c r="C268" s="37">
        <v>45712.0</v>
      </c>
      <c r="F268" s="38">
        <v>0.9270833333333334</v>
      </c>
      <c r="I268" s="39" t="s">
        <v>690</v>
      </c>
      <c r="S268" s="39" t="s">
        <v>687</v>
      </c>
      <c r="AE268" s="40">
        <v>0.041666666666666664</v>
      </c>
      <c r="AG268" s="39" t="s">
        <v>688</v>
      </c>
      <c r="AJ268" s="41" t="s">
        <v>691</v>
      </c>
      <c r="AL268" s="42" t="s">
        <v>68</v>
      </c>
      <c r="AP268" s="43" t="str">
        <f t="shared" si="2"/>
        <v>REALIZADO</v>
      </c>
      <c r="AV268" s="44" t="s">
        <v>46</v>
      </c>
      <c r="AW268" s="45"/>
      <c r="AX268" s="35"/>
    </row>
    <row r="269">
      <c r="A269" s="24"/>
      <c r="B269" s="36" t="s">
        <v>34</v>
      </c>
      <c r="C269" s="37">
        <v>45713.0</v>
      </c>
      <c r="F269" s="38">
        <v>0.4583333333333333</v>
      </c>
      <c r="I269" s="39" t="s">
        <v>654</v>
      </c>
      <c r="S269" s="39" t="s">
        <v>692</v>
      </c>
      <c r="AE269" s="40">
        <v>0.5173611111111112</v>
      </c>
      <c r="AG269" s="39" t="s">
        <v>693</v>
      </c>
      <c r="AJ269" s="41" t="s">
        <v>694</v>
      </c>
      <c r="AL269" s="42" t="s">
        <v>56</v>
      </c>
      <c r="AP269" s="43" t="str">
        <f t="shared" si="2"/>
        <v>REALIZADO</v>
      </c>
      <c r="AV269" s="44" t="s">
        <v>46</v>
      </c>
      <c r="AW269" s="45"/>
      <c r="AX269" s="35"/>
    </row>
    <row r="270">
      <c r="A270" s="24"/>
      <c r="B270" s="36" t="s">
        <v>41</v>
      </c>
      <c r="C270" s="37">
        <v>45713.0</v>
      </c>
      <c r="F270" s="38">
        <v>0.5</v>
      </c>
      <c r="I270" s="39" t="s">
        <v>695</v>
      </c>
      <c r="S270" s="39" t="s">
        <v>681</v>
      </c>
      <c r="AE270" s="40">
        <v>0.08333333333333333</v>
      </c>
      <c r="AG270" s="39" t="s">
        <v>696</v>
      </c>
      <c r="AJ270" s="41" t="s">
        <v>697</v>
      </c>
      <c r="AL270" s="42" t="s">
        <v>53</v>
      </c>
      <c r="AP270" s="43" t="str">
        <f t="shared" si="2"/>
        <v>REALIZADO</v>
      </c>
      <c r="AV270" s="44" t="s">
        <v>46</v>
      </c>
      <c r="AW270" s="45"/>
      <c r="AX270" s="35"/>
    </row>
    <row r="271">
      <c r="A271" s="24"/>
      <c r="B271" s="36" t="s">
        <v>41</v>
      </c>
      <c r="C271" s="37">
        <v>45713.0</v>
      </c>
      <c r="F271" s="38">
        <v>0.7083333333333334</v>
      </c>
      <c r="I271" s="39" t="s">
        <v>698</v>
      </c>
      <c r="S271" s="39" t="s">
        <v>182</v>
      </c>
      <c r="AE271" s="40">
        <v>0.0625</v>
      </c>
      <c r="AG271" s="39" t="s">
        <v>652</v>
      </c>
      <c r="AJ271" s="41" t="s">
        <v>699</v>
      </c>
      <c r="AL271" s="42" t="s">
        <v>53</v>
      </c>
      <c r="AP271" s="43" t="str">
        <f t="shared" si="2"/>
        <v>REALIZADO</v>
      </c>
      <c r="AV271" s="44" t="s">
        <v>46</v>
      </c>
      <c r="AW271" s="45"/>
      <c r="AX271" s="35"/>
    </row>
    <row r="272">
      <c r="A272" s="24"/>
      <c r="B272" s="36" t="s">
        <v>41</v>
      </c>
      <c r="C272" s="37">
        <v>45714.0</v>
      </c>
      <c r="F272" s="38">
        <v>0.4583333333333333</v>
      </c>
      <c r="I272" s="39" t="s">
        <v>700</v>
      </c>
      <c r="S272" s="39" t="s">
        <v>681</v>
      </c>
      <c r="AE272" s="40">
        <v>0.0625</v>
      </c>
      <c r="AG272" s="39" t="s">
        <v>682</v>
      </c>
      <c r="AJ272" s="41" t="s">
        <v>701</v>
      </c>
      <c r="AL272" s="42" t="s">
        <v>53</v>
      </c>
      <c r="AP272" s="43" t="str">
        <f t="shared" si="2"/>
        <v>REALIZADO</v>
      </c>
      <c r="AV272" s="44" t="s">
        <v>46</v>
      </c>
      <c r="AW272" s="45"/>
      <c r="AX272" s="35"/>
    </row>
    <row r="273">
      <c r="A273" s="24"/>
      <c r="B273" s="36" t="s">
        <v>41</v>
      </c>
      <c r="C273" s="37">
        <v>45714.0</v>
      </c>
      <c r="F273" s="38">
        <v>0.5</v>
      </c>
      <c r="I273" s="39" t="s">
        <v>702</v>
      </c>
      <c r="S273" s="39" t="s">
        <v>414</v>
      </c>
      <c r="AE273" s="40">
        <v>0.08333333333333333</v>
      </c>
      <c r="AG273" s="39" t="s">
        <v>703</v>
      </c>
      <c r="AJ273" s="41" t="s">
        <v>44</v>
      </c>
      <c r="AL273" s="42" t="s">
        <v>414</v>
      </c>
      <c r="AP273" s="43" t="str">
        <f t="shared" si="2"/>
        <v>REALIZADO</v>
      </c>
      <c r="AV273" s="44" t="s">
        <v>46</v>
      </c>
      <c r="AW273" s="45"/>
      <c r="AX273" s="35"/>
    </row>
    <row r="274">
      <c r="A274" s="57"/>
      <c r="B274" s="36" t="s">
        <v>41</v>
      </c>
      <c r="C274" s="37">
        <v>45715.0</v>
      </c>
      <c r="F274" s="38">
        <v>0.4375</v>
      </c>
      <c r="I274" s="39" t="s">
        <v>704</v>
      </c>
      <c r="S274" s="39" t="s">
        <v>182</v>
      </c>
      <c r="AE274" s="40">
        <v>0.0625</v>
      </c>
      <c r="AG274" s="39" t="s">
        <v>652</v>
      </c>
      <c r="AJ274" s="41" t="s">
        <v>705</v>
      </c>
      <c r="AL274" s="42" t="s">
        <v>56</v>
      </c>
      <c r="AP274" s="43" t="str">
        <f t="shared" si="2"/>
        <v>REALIZADO</v>
      </c>
      <c r="AV274" s="44" t="s">
        <v>46</v>
      </c>
      <c r="AW274" s="45"/>
      <c r="AX274" s="35"/>
    </row>
    <row r="275">
      <c r="A275" s="24"/>
      <c r="B275" s="36" t="s">
        <v>41</v>
      </c>
      <c r="C275" s="37">
        <v>45715.0</v>
      </c>
      <c r="F275" s="38">
        <v>0.5416666666666666</v>
      </c>
      <c r="I275" s="39" t="s">
        <v>706</v>
      </c>
      <c r="S275" s="39" t="s">
        <v>681</v>
      </c>
      <c r="AE275" s="40">
        <v>0.0625</v>
      </c>
      <c r="AG275" s="39" t="s">
        <v>682</v>
      </c>
      <c r="AJ275" s="41" t="s">
        <v>707</v>
      </c>
      <c r="AL275" s="42" t="s">
        <v>56</v>
      </c>
      <c r="AP275" s="43" t="str">
        <f t="shared" si="2"/>
        <v>REALIZADO</v>
      </c>
      <c r="AV275" s="44" t="s">
        <v>46</v>
      </c>
      <c r="AW275" s="45"/>
      <c r="AX275" s="35"/>
    </row>
    <row r="276">
      <c r="A276" s="24"/>
      <c r="B276" s="36" t="s">
        <v>41</v>
      </c>
      <c r="C276" s="37">
        <v>45715.0</v>
      </c>
      <c r="F276" s="38">
        <v>0.5416666666666666</v>
      </c>
      <c r="I276" s="39" t="s">
        <v>708</v>
      </c>
      <c r="S276" s="39" t="s">
        <v>182</v>
      </c>
      <c r="AE276" s="40">
        <v>0.041666666666666664</v>
      </c>
      <c r="AG276" s="39" t="s">
        <v>657</v>
      </c>
      <c r="AJ276" s="41" t="s">
        <v>709</v>
      </c>
      <c r="AL276" s="42" t="s">
        <v>68</v>
      </c>
      <c r="AP276" s="43" t="str">
        <f t="shared" si="2"/>
        <v>REALIZADO</v>
      </c>
      <c r="AV276" s="44" t="s">
        <v>46</v>
      </c>
      <c r="AW276" s="45"/>
      <c r="AX276" s="35"/>
    </row>
    <row r="277">
      <c r="A277" s="24"/>
      <c r="B277" s="36" t="s">
        <v>41</v>
      </c>
      <c r="C277" s="37">
        <v>45715.0</v>
      </c>
      <c r="F277" s="38">
        <v>0.875</v>
      </c>
      <c r="I277" s="39" t="s">
        <v>710</v>
      </c>
      <c r="S277" s="39" t="s">
        <v>711</v>
      </c>
      <c r="AE277" s="40">
        <v>0.08333333333333333</v>
      </c>
      <c r="AG277" s="39" t="s">
        <v>712</v>
      </c>
      <c r="AJ277" s="41" t="s">
        <v>44</v>
      </c>
      <c r="AL277" s="42" t="s">
        <v>53</v>
      </c>
      <c r="AP277" s="43" t="str">
        <f t="shared" si="2"/>
        <v>ABORTIVA</v>
      </c>
      <c r="AV277" s="44" t="s">
        <v>713</v>
      </c>
      <c r="AW277" s="45"/>
      <c r="AX277" s="35"/>
    </row>
    <row r="278">
      <c r="A278" s="24"/>
      <c r="B278" s="36" t="s">
        <v>41</v>
      </c>
      <c r="C278" s="37">
        <v>45715.0</v>
      </c>
      <c r="F278" s="38">
        <v>0.9791666666666666</v>
      </c>
      <c r="I278" s="39" t="s">
        <v>714</v>
      </c>
      <c r="S278" s="39" t="s">
        <v>711</v>
      </c>
      <c r="AE278" s="40">
        <v>0.0625</v>
      </c>
      <c r="AG278" s="39" t="s">
        <v>715</v>
      </c>
      <c r="AJ278" s="41" t="s">
        <v>44</v>
      </c>
      <c r="AL278" s="42" t="s">
        <v>53</v>
      </c>
      <c r="AP278" s="43" t="str">
        <f t="shared" si="2"/>
        <v>ABORTIVA</v>
      </c>
      <c r="AV278" s="44" t="s">
        <v>713</v>
      </c>
      <c r="AW278" s="45"/>
      <c r="AX278" s="35"/>
    </row>
    <row r="279">
      <c r="A279" s="24"/>
      <c r="B279" s="36" t="s">
        <v>41</v>
      </c>
      <c r="C279" s="37">
        <v>45716.0</v>
      </c>
      <c r="F279" s="38">
        <v>0.4583333333333333</v>
      </c>
      <c r="I279" s="39" t="s">
        <v>716</v>
      </c>
      <c r="S279" s="39" t="s">
        <v>711</v>
      </c>
      <c r="AE279" s="40">
        <v>0.027777777777777776</v>
      </c>
      <c r="AG279" s="39" t="s">
        <v>682</v>
      </c>
      <c r="AJ279" s="41" t="s">
        <v>717</v>
      </c>
      <c r="AL279" s="42" t="s">
        <v>56</v>
      </c>
      <c r="AP279" s="43" t="str">
        <f t="shared" si="2"/>
        <v>REALIZADO</v>
      </c>
      <c r="AV279" s="44" t="s">
        <v>46</v>
      </c>
      <c r="AW279" s="45"/>
      <c r="AX279" s="35"/>
    </row>
    <row r="280">
      <c r="A280" s="24"/>
      <c r="B280" s="36" t="s">
        <v>41</v>
      </c>
      <c r="C280" s="37">
        <v>45716.0</v>
      </c>
      <c r="F280" s="38">
        <v>0.5</v>
      </c>
      <c r="I280" s="39" t="s">
        <v>718</v>
      </c>
      <c r="S280" s="39" t="s">
        <v>182</v>
      </c>
      <c r="AE280" s="40">
        <v>0.020833333333333332</v>
      </c>
      <c r="AG280" s="39" t="s">
        <v>657</v>
      </c>
      <c r="AJ280" s="41" t="s">
        <v>44</v>
      </c>
      <c r="AL280" s="42" t="s">
        <v>68</v>
      </c>
      <c r="AP280" s="43" t="str">
        <f t="shared" si="2"/>
        <v>ABORTIVA</v>
      </c>
      <c r="AV280" s="44" t="s">
        <v>713</v>
      </c>
      <c r="AW280" s="45"/>
      <c r="AX280" s="35"/>
    </row>
    <row r="281">
      <c r="A281" s="24"/>
      <c r="B281" s="36" t="s">
        <v>41</v>
      </c>
      <c r="C281" s="37">
        <v>45716.0</v>
      </c>
      <c r="F281" s="38">
        <v>0.6111111111111112</v>
      </c>
      <c r="I281" s="39" t="s">
        <v>719</v>
      </c>
      <c r="S281" s="39" t="s">
        <v>185</v>
      </c>
      <c r="AE281" s="40">
        <v>0.003472222222222222</v>
      </c>
      <c r="AG281" s="39" t="s">
        <v>44</v>
      </c>
      <c r="AJ281" s="41" t="s">
        <v>720</v>
      </c>
      <c r="AL281" s="42" t="s">
        <v>68</v>
      </c>
      <c r="AP281" s="43" t="str">
        <f t="shared" si="2"/>
        <v>REALIZADO</v>
      </c>
      <c r="AV281" s="44" t="s">
        <v>46</v>
      </c>
      <c r="AW281" s="45"/>
      <c r="AX281" s="35"/>
    </row>
    <row r="282">
      <c r="A282" s="24"/>
      <c r="B282" s="36" t="s">
        <v>34</v>
      </c>
      <c r="C282" s="37">
        <v>45716.0</v>
      </c>
      <c r="F282" s="38">
        <v>0.9375</v>
      </c>
      <c r="I282" s="39" t="s">
        <v>721</v>
      </c>
      <c r="S282" s="39" t="s">
        <v>722</v>
      </c>
      <c r="AE282" s="40">
        <v>0.3854166666666667</v>
      </c>
      <c r="AG282" s="39" t="s">
        <v>723</v>
      </c>
      <c r="AJ282" s="41" t="s">
        <v>724</v>
      </c>
      <c r="AL282" s="42" t="s">
        <v>68</v>
      </c>
      <c r="AP282" s="43" t="str">
        <f t="shared" si="2"/>
        <v>REALIZADO</v>
      </c>
      <c r="AV282" s="44" t="s">
        <v>46</v>
      </c>
      <c r="AW282" s="45"/>
      <c r="AX282" s="35"/>
    </row>
    <row r="283">
      <c r="A283" s="24"/>
      <c r="B283" s="36" t="s">
        <v>34</v>
      </c>
      <c r="C283" s="37">
        <v>45717.0</v>
      </c>
      <c r="F283" s="38">
        <v>0.5</v>
      </c>
      <c r="I283" s="39" t="s">
        <v>725</v>
      </c>
      <c r="S283" s="39" t="s">
        <v>726</v>
      </c>
      <c r="AE283" s="40">
        <v>0.5659722222222222</v>
      </c>
      <c r="AG283" s="39" t="s">
        <v>727</v>
      </c>
      <c r="AJ283" s="41" t="s">
        <v>728</v>
      </c>
      <c r="AL283" s="42" t="s">
        <v>93</v>
      </c>
      <c r="AP283" s="43" t="str">
        <f t="shared" si="2"/>
        <v>REALIZADO</v>
      </c>
      <c r="AV283" s="44" t="s">
        <v>46</v>
      </c>
      <c r="AW283" s="45"/>
      <c r="AX283" s="35"/>
    </row>
    <row r="284">
      <c r="A284" s="24"/>
      <c r="B284" s="36" t="s">
        <v>34</v>
      </c>
      <c r="C284" s="37">
        <v>45717.0</v>
      </c>
      <c r="F284" s="38">
        <v>0.9791666666666666</v>
      </c>
      <c r="I284" s="39" t="s">
        <v>729</v>
      </c>
      <c r="S284" s="39" t="s">
        <v>730</v>
      </c>
      <c r="AE284" s="40">
        <v>0.3090277777777778</v>
      </c>
      <c r="AG284" s="39" t="s">
        <v>731</v>
      </c>
      <c r="AJ284" s="41" t="s">
        <v>732</v>
      </c>
      <c r="AL284" s="42" t="s">
        <v>68</v>
      </c>
      <c r="AP284" s="43" t="str">
        <f t="shared" si="2"/>
        <v>REALIZADO</v>
      </c>
      <c r="AV284" s="44" t="s">
        <v>46</v>
      </c>
      <c r="AW284" s="45"/>
      <c r="AX284" s="35"/>
    </row>
    <row r="285">
      <c r="A285" s="24"/>
      <c r="B285" s="36" t="s">
        <v>34</v>
      </c>
      <c r="C285" s="37">
        <v>45721.0</v>
      </c>
      <c r="F285" s="38">
        <v>0.4166666666666667</v>
      </c>
      <c r="I285" s="39" t="s">
        <v>733</v>
      </c>
      <c r="S285" s="39" t="s">
        <v>734</v>
      </c>
      <c r="AE285" s="40">
        <v>0.08333333333333333</v>
      </c>
      <c r="AG285" s="39" t="s">
        <v>735</v>
      </c>
      <c r="AJ285" s="41" t="s">
        <v>736</v>
      </c>
      <c r="AL285" s="42" t="s">
        <v>53</v>
      </c>
      <c r="AP285" s="43" t="str">
        <f t="shared" si="2"/>
        <v>REALIZADO</v>
      </c>
      <c r="AV285" s="44" t="s">
        <v>46</v>
      </c>
      <c r="AW285" s="45"/>
      <c r="AX285" s="35"/>
    </row>
    <row r="286">
      <c r="A286" s="24"/>
      <c r="B286" s="36" t="s">
        <v>41</v>
      </c>
      <c r="C286" s="37">
        <v>45721.0</v>
      </c>
      <c r="F286" s="38">
        <v>0.8333333333333334</v>
      </c>
      <c r="I286" s="39" t="s">
        <v>737</v>
      </c>
      <c r="S286" s="39" t="s">
        <v>711</v>
      </c>
      <c r="AE286" s="40">
        <v>0.0625</v>
      </c>
      <c r="AG286" s="39" t="s">
        <v>738</v>
      </c>
      <c r="AJ286" s="41" t="s">
        <v>739</v>
      </c>
      <c r="AL286" s="42" t="s">
        <v>68</v>
      </c>
      <c r="AP286" s="43" t="str">
        <f t="shared" si="2"/>
        <v>REALIZADO</v>
      </c>
      <c r="AV286" s="44" t="s">
        <v>46</v>
      </c>
      <c r="AW286" s="45"/>
      <c r="AX286" s="35"/>
    </row>
    <row r="287">
      <c r="A287" s="24"/>
      <c r="B287" s="36" t="s">
        <v>41</v>
      </c>
      <c r="C287" s="37">
        <v>45721.0</v>
      </c>
      <c r="F287" s="38">
        <v>0.875</v>
      </c>
      <c r="I287" s="39" t="s">
        <v>740</v>
      </c>
      <c r="S287" s="39" t="s">
        <v>711</v>
      </c>
      <c r="AE287" s="40">
        <v>0.041666666666666664</v>
      </c>
      <c r="AG287" s="39" t="s">
        <v>715</v>
      </c>
      <c r="AJ287" s="41" t="s">
        <v>741</v>
      </c>
      <c r="AL287" s="42" t="s">
        <v>56</v>
      </c>
      <c r="AP287" s="43" t="str">
        <f t="shared" si="2"/>
        <v>REALIZADO</v>
      </c>
      <c r="AV287" s="44" t="s">
        <v>46</v>
      </c>
      <c r="AW287" s="45"/>
      <c r="AX287" s="35"/>
    </row>
    <row r="288">
      <c r="A288" s="24"/>
      <c r="B288" s="36" t="s">
        <v>41</v>
      </c>
      <c r="C288" s="37">
        <v>45721.0</v>
      </c>
      <c r="F288" s="38">
        <v>0.9375</v>
      </c>
      <c r="I288" s="39" t="s">
        <v>742</v>
      </c>
      <c r="S288" s="39" t="s">
        <v>711</v>
      </c>
      <c r="AE288" s="40">
        <v>0.041666666666666664</v>
      </c>
      <c r="AG288" s="39" t="s">
        <v>715</v>
      </c>
      <c r="AJ288" s="41" t="s">
        <v>44</v>
      </c>
      <c r="AL288" s="42" t="s">
        <v>56</v>
      </c>
      <c r="AP288" s="43" t="str">
        <f t="shared" ref="AP288:AP328" si="3">IF(C288="","",
IF(AG288="","AGD OFRAG",
IF(AND(AG288&lt;&gt;"",AV288=""),"PROGRAMADA",
IF(AND(AG288&lt;&gt;"",AV288="ARR"),"REALIZADO",
IF(AND(AG288&lt;&gt;"",OR(AV288="SMAT",AV288="SMET",AV288="SOSP",AV288="SPES",AV288="VMAT",AV288="VMET",AV288="VOSP",AV288="VPES")),"ABORTIVA",
IF(AND(AG288&lt;&gt;"",AV288&lt;&gt;""),"EM EXECUÇÃO"))))))</f>
        <v>ABORTIVA</v>
      </c>
      <c r="AV288" s="44" t="s">
        <v>743</v>
      </c>
      <c r="AW288" s="45"/>
      <c r="AX288" s="35"/>
    </row>
    <row r="289">
      <c r="A289" s="24"/>
      <c r="B289" s="36" t="s">
        <v>34</v>
      </c>
      <c r="C289" s="37">
        <v>45722.0</v>
      </c>
      <c r="F289" s="38">
        <v>0.4583333333333333</v>
      </c>
      <c r="I289" s="39" t="s">
        <v>744</v>
      </c>
      <c r="S289" s="39" t="s">
        <v>745</v>
      </c>
      <c r="AE289" s="40">
        <v>0.16319444444444445</v>
      </c>
      <c r="AG289" s="39" t="s">
        <v>746</v>
      </c>
      <c r="AJ289" s="41" t="s">
        <v>747</v>
      </c>
      <c r="AL289" s="42" t="s">
        <v>68</v>
      </c>
      <c r="AP289" s="43" t="str">
        <f t="shared" si="3"/>
        <v>REALIZADO</v>
      </c>
      <c r="AV289" s="44" t="s">
        <v>46</v>
      </c>
      <c r="AW289" s="45"/>
      <c r="AX289" s="35"/>
    </row>
    <row r="290">
      <c r="A290" s="24"/>
      <c r="B290" s="36" t="s">
        <v>41</v>
      </c>
      <c r="C290" s="37">
        <v>45722.0</v>
      </c>
      <c r="F290" s="38">
        <v>0.5</v>
      </c>
      <c r="I290" s="39" t="s">
        <v>748</v>
      </c>
      <c r="S290" s="39" t="s">
        <v>749</v>
      </c>
      <c r="AE290" s="40">
        <v>0.0625</v>
      </c>
      <c r="AG290" s="39" t="s">
        <v>652</v>
      </c>
      <c r="AJ290" s="41" t="s">
        <v>750</v>
      </c>
      <c r="AL290" s="42" t="s">
        <v>56</v>
      </c>
      <c r="AP290" s="43" t="str">
        <f t="shared" si="3"/>
        <v>REALIZADO</v>
      </c>
      <c r="AV290" s="44" t="s">
        <v>46</v>
      </c>
      <c r="AW290" s="45"/>
      <c r="AX290" s="35"/>
    </row>
    <row r="291">
      <c r="A291" s="24"/>
      <c r="B291" s="36" t="s">
        <v>41</v>
      </c>
      <c r="C291" s="37">
        <v>45722.0</v>
      </c>
      <c r="F291" s="38">
        <v>0.75</v>
      </c>
      <c r="I291" s="39" t="s">
        <v>751</v>
      </c>
      <c r="S291" s="39" t="s">
        <v>752</v>
      </c>
      <c r="AE291" s="40">
        <v>0.0625</v>
      </c>
      <c r="AG291" s="39" t="s">
        <v>682</v>
      </c>
      <c r="AJ291" s="41" t="s">
        <v>753</v>
      </c>
      <c r="AL291" s="42" t="s">
        <v>56</v>
      </c>
      <c r="AP291" s="43" t="str">
        <f t="shared" si="3"/>
        <v>REALIZADO</v>
      </c>
      <c r="AV291" s="44" t="s">
        <v>46</v>
      </c>
      <c r="AW291" s="45"/>
      <c r="AX291" s="35"/>
    </row>
    <row r="292">
      <c r="A292" s="24"/>
      <c r="B292" s="36" t="s">
        <v>41</v>
      </c>
      <c r="C292" s="37">
        <v>45722.0</v>
      </c>
      <c r="F292" s="38">
        <v>0.8645833333333334</v>
      </c>
      <c r="I292" s="39" t="s">
        <v>754</v>
      </c>
      <c r="S292" s="39" t="s">
        <v>711</v>
      </c>
      <c r="AE292" s="40">
        <v>0.08333333333333333</v>
      </c>
      <c r="AG292" s="39" t="s">
        <v>712</v>
      </c>
      <c r="AJ292" s="41" t="s">
        <v>755</v>
      </c>
      <c r="AL292" s="42" t="s">
        <v>53</v>
      </c>
      <c r="AP292" s="43" t="str">
        <f t="shared" si="3"/>
        <v>REALIZADO</v>
      </c>
      <c r="AV292" s="44" t="s">
        <v>46</v>
      </c>
      <c r="AW292" s="45"/>
      <c r="AX292" s="35"/>
    </row>
    <row r="293">
      <c r="A293" s="24"/>
      <c r="B293" s="36" t="s">
        <v>41</v>
      </c>
      <c r="C293" s="37">
        <v>45722.0</v>
      </c>
      <c r="F293" s="38">
        <v>0.8645833333333334</v>
      </c>
      <c r="I293" s="39" t="s">
        <v>756</v>
      </c>
      <c r="S293" s="39" t="s">
        <v>757</v>
      </c>
      <c r="AE293" s="40">
        <v>0.003472222222222222</v>
      </c>
      <c r="AG293" s="39" t="s">
        <v>44</v>
      </c>
      <c r="AJ293" s="41" t="s">
        <v>758</v>
      </c>
      <c r="AL293" s="42" t="s">
        <v>56</v>
      </c>
      <c r="AP293" s="43" t="str">
        <f t="shared" si="3"/>
        <v>REALIZADO</v>
      </c>
      <c r="AV293" s="44" t="s">
        <v>46</v>
      </c>
      <c r="AW293" s="45"/>
      <c r="AX293" s="35"/>
    </row>
    <row r="294">
      <c r="A294" s="24"/>
      <c r="B294" s="36" t="s">
        <v>41</v>
      </c>
      <c r="C294" s="37">
        <v>45722.0</v>
      </c>
      <c r="F294" s="38">
        <v>0.875</v>
      </c>
      <c r="I294" s="39" t="s">
        <v>759</v>
      </c>
      <c r="S294" s="39" t="s">
        <v>711</v>
      </c>
      <c r="AE294" s="40">
        <v>0.041666666666666664</v>
      </c>
      <c r="AG294" s="39" t="s">
        <v>688</v>
      </c>
      <c r="AJ294" s="41" t="s">
        <v>760</v>
      </c>
      <c r="AL294" s="42" t="s">
        <v>56</v>
      </c>
      <c r="AP294" s="43" t="str">
        <f t="shared" si="3"/>
        <v>REALIZADO</v>
      </c>
      <c r="AV294" s="44" t="s">
        <v>46</v>
      </c>
      <c r="AW294" s="45"/>
      <c r="AX294" s="35"/>
    </row>
    <row r="295">
      <c r="A295" s="24"/>
      <c r="B295" s="36" t="s">
        <v>41</v>
      </c>
      <c r="C295" s="37">
        <v>45722.0</v>
      </c>
      <c r="F295" s="38">
        <v>0.96875</v>
      </c>
      <c r="I295" s="39" t="s">
        <v>761</v>
      </c>
      <c r="S295" s="39" t="s">
        <v>711</v>
      </c>
      <c r="AE295" s="40">
        <v>0.041666666666666664</v>
      </c>
      <c r="AG295" s="39" t="s">
        <v>715</v>
      </c>
      <c r="AJ295" s="41" t="s">
        <v>762</v>
      </c>
      <c r="AL295" s="42" t="s">
        <v>53</v>
      </c>
      <c r="AP295" s="43" t="str">
        <f t="shared" si="3"/>
        <v>REALIZADO</v>
      </c>
      <c r="AV295" s="44" t="s">
        <v>46</v>
      </c>
      <c r="AW295" s="45"/>
      <c r="AX295" s="35"/>
    </row>
    <row r="296">
      <c r="A296" s="24"/>
      <c r="B296" s="36" t="s">
        <v>41</v>
      </c>
      <c r="C296" s="37">
        <v>45723.0</v>
      </c>
      <c r="F296" s="38">
        <v>0.5208333333333334</v>
      </c>
      <c r="I296" s="39" t="s">
        <v>756</v>
      </c>
      <c r="S296" s="39" t="s">
        <v>66</v>
      </c>
      <c r="AE296" s="40">
        <v>0.041666666666666664</v>
      </c>
      <c r="AG296" s="39" t="s">
        <v>67</v>
      </c>
      <c r="AJ296" s="41" t="s">
        <v>763</v>
      </c>
      <c r="AL296" s="42" t="s">
        <v>45</v>
      </c>
      <c r="AP296" s="43" t="str">
        <f t="shared" si="3"/>
        <v>ABORTIVA</v>
      </c>
      <c r="AV296" s="44" t="s">
        <v>98</v>
      </c>
      <c r="AW296" s="45"/>
      <c r="AX296" s="35"/>
    </row>
    <row r="297">
      <c r="A297" s="24"/>
      <c r="B297" s="36" t="s">
        <v>34</v>
      </c>
      <c r="C297" s="37">
        <v>45724.0</v>
      </c>
      <c r="F297" s="38">
        <v>0.4583333333333333</v>
      </c>
      <c r="I297" s="39" t="s">
        <v>764</v>
      </c>
      <c r="S297" s="39" t="s">
        <v>765</v>
      </c>
      <c r="AE297" s="40">
        <v>0.8055555555555556</v>
      </c>
      <c r="AG297" s="39" t="s">
        <v>766</v>
      </c>
      <c r="AJ297" s="41" t="s">
        <v>767</v>
      </c>
      <c r="AL297" s="42" t="s">
        <v>53</v>
      </c>
      <c r="AP297" s="43" t="str">
        <f t="shared" si="3"/>
        <v>REALIZADO</v>
      </c>
      <c r="AV297" s="44" t="s">
        <v>46</v>
      </c>
      <c r="AW297" s="45"/>
      <c r="AX297" s="35"/>
    </row>
    <row r="298">
      <c r="A298" s="24"/>
      <c r="B298" s="36" t="s">
        <v>41</v>
      </c>
      <c r="C298" s="37">
        <v>45726.0</v>
      </c>
      <c r="F298" s="38">
        <v>0.4375</v>
      </c>
      <c r="I298" s="39" t="s">
        <v>768</v>
      </c>
      <c r="S298" s="39" t="s">
        <v>769</v>
      </c>
      <c r="AE298" s="40">
        <v>0.0625</v>
      </c>
      <c r="AG298" s="39" t="s">
        <v>682</v>
      </c>
      <c r="AJ298" s="41" t="s">
        <v>770</v>
      </c>
      <c r="AL298" s="42" t="s">
        <v>56</v>
      </c>
      <c r="AP298" s="43" t="str">
        <f t="shared" si="3"/>
        <v>REALIZADO</v>
      </c>
      <c r="AV298" s="44" t="s">
        <v>46</v>
      </c>
      <c r="AW298" s="45"/>
      <c r="AX298" s="35"/>
    </row>
    <row r="299">
      <c r="A299" s="24"/>
      <c r="B299" s="36" t="s">
        <v>41</v>
      </c>
      <c r="C299" s="37">
        <v>45726.0</v>
      </c>
      <c r="F299" s="38">
        <v>0.6145833333333334</v>
      </c>
      <c r="I299" s="39" t="s">
        <v>771</v>
      </c>
      <c r="S299" s="39" t="s">
        <v>182</v>
      </c>
      <c r="AE299" s="40">
        <v>0.041666666666666664</v>
      </c>
      <c r="AG299" s="39" t="s">
        <v>649</v>
      </c>
      <c r="AJ299" s="41" t="s">
        <v>772</v>
      </c>
      <c r="AL299" s="42" t="s">
        <v>45</v>
      </c>
      <c r="AP299" s="43" t="str">
        <f t="shared" si="3"/>
        <v>REALIZADO</v>
      </c>
      <c r="AV299" s="44" t="s">
        <v>46</v>
      </c>
      <c r="AW299" s="45"/>
      <c r="AX299" s="35"/>
    </row>
    <row r="300">
      <c r="A300" s="24"/>
      <c r="B300" s="36" t="s">
        <v>41</v>
      </c>
      <c r="C300" s="37">
        <v>45727.0</v>
      </c>
      <c r="F300" s="38">
        <v>0.6666666666666666</v>
      </c>
      <c r="I300" s="39" t="s">
        <v>773</v>
      </c>
      <c r="S300" s="39" t="s">
        <v>774</v>
      </c>
      <c r="AE300" s="40">
        <v>0.0625</v>
      </c>
      <c r="AG300" s="39" t="s">
        <v>682</v>
      </c>
      <c r="AJ300" s="41" t="s">
        <v>44</v>
      </c>
      <c r="AL300" s="42" t="s">
        <v>56</v>
      </c>
      <c r="AP300" s="43" t="str">
        <f t="shared" si="3"/>
        <v>ABORTIVA</v>
      </c>
      <c r="AV300" s="44" t="s">
        <v>713</v>
      </c>
      <c r="AW300" s="45"/>
      <c r="AX300" s="35"/>
    </row>
    <row r="301">
      <c r="A301" s="24"/>
      <c r="B301" s="36" t="s">
        <v>41</v>
      </c>
      <c r="C301" s="37">
        <v>45727.0</v>
      </c>
      <c r="F301" s="38">
        <v>0.7083333333333334</v>
      </c>
      <c r="I301" s="39" t="s">
        <v>775</v>
      </c>
      <c r="S301" s="39" t="s">
        <v>776</v>
      </c>
      <c r="AE301" s="40">
        <v>0.0625</v>
      </c>
      <c r="AG301" s="39" t="s">
        <v>652</v>
      </c>
      <c r="AJ301" s="41" t="s">
        <v>777</v>
      </c>
      <c r="AL301" s="42" t="s">
        <v>53</v>
      </c>
      <c r="AP301" s="43" t="str">
        <f t="shared" si="3"/>
        <v>REALIZADO</v>
      </c>
      <c r="AV301" s="44" t="s">
        <v>46</v>
      </c>
      <c r="AW301" s="45"/>
      <c r="AX301" s="35"/>
    </row>
    <row r="302">
      <c r="A302" s="24"/>
      <c r="B302" s="36" t="s">
        <v>41</v>
      </c>
      <c r="C302" s="37">
        <v>45727.0</v>
      </c>
      <c r="F302" s="38">
        <v>0.75</v>
      </c>
      <c r="I302" s="39" t="s">
        <v>778</v>
      </c>
      <c r="S302" s="39" t="s">
        <v>774</v>
      </c>
      <c r="AE302" s="40">
        <v>0.0625</v>
      </c>
      <c r="AG302" s="39" t="s">
        <v>682</v>
      </c>
      <c r="AJ302" s="41" t="s">
        <v>44</v>
      </c>
      <c r="AL302" s="42" t="s">
        <v>56</v>
      </c>
      <c r="AP302" s="43" t="str">
        <f t="shared" si="3"/>
        <v>ABORTIVA</v>
      </c>
      <c r="AV302" s="44" t="s">
        <v>713</v>
      </c>
      <c r="AW302" s="45"/>
      <c r="AX302" s="35"/>
    </row>
    <row r="303">
      <c r="A303" s="24"/>
      <c r="B303" s="36" t="s">
        <v>41</v>
      </c>
      <c r="C303" s="37">
        <v>45727.0</v>
      </c>
      <c r="F303" s="38">
        <v>0.8333333333333334</v>
      </c>
      <c r="I303" s="39" t="s">
        <v>779</v>
      </c>
      <c r="S303" s="39" t="s">
        <v>268</v>
      </c>
      <c r="AE303" s="40">
        <v>0.041666666666666664</v>
      </c>
      <c r="AG303" s="39" t="s">
        <v>780</v>
      </c>
      <c r="AJ303" s="41" t="s">
        <v>781</v>
      </c>
      <c r="AL303" s="42" t="s">
        <v>53</v>
      </c>
      <c r="AP303" s="43" t="str">
        <f t="shared" si="3"/>
        <v>REALIZADO</v>
      </c>
      <c r="AV303" s="44" t="s">
        <v>46</v>
      </c>
      <c r="AW303" s="45"/>
      <c r="AX303" s="35"/>
    </row>
    <row r="304">
      <c r="A304" s="24"/>
      <c r="B304" s="36" t="s">
        <v>41</v>
      </c>
      <c r="C304" s="37">
        <v>45728.0</v>
      </c>
      <c r="F304" s="38">
        <v>0.5</v>
      </c>
      <c r="I304" s="39" t="s">
        <v>782</v>
      </c>
      <c r="S304" s="39" t="s">
        <v>783</v>
      </c>
      <c r="AE304" s="40">
        <v>0.0625</v>
      </c>
      <c r="AG304" s="39" t="s">
        <v>682</v>
      </c>
      <c r="AJ304" s="41" t="s">
        <v>784</v>
      </c>
      <c r="AL304" s="42" t="s">
        <v>53</v>
      </c>
      <c r="AP304" s="43" t="str">
        <f t="shared" si="3"/>
        <v>REALIZADO</v>
      </c>
      <c r="AV304" s="44" t="s">
        <v>46</v>
      </c>
      <c r="AW304" s="45"/>
      <c r="AX304" s="35"/>
    </row>
    <row r="305">
      <c r="A305" s="24"/>
      <c r="B305" s="36" t="s">
        <v>41</v>
      </c>
      <c r="C305" s="37">
        <v>45728.0</v>
      </c>
      <c r="F305" s="38">
        <v>0.7083333333333334</v>
      </c>
      <c r="I305" s="39" t="s">
        <v>785</v>
      </c>
      <c r="S305" s="39" t="s">
        <v>774</v>
      </c>
      <c r="AE305" s="40">
        <v>0.0625</v>
      </c>
      <c r="AG305" s="39" t="s">
        <v>682</v>
      </c>
      <c r="AJ305" s="41" t="s">
        <v>786</v>
      </c>
      <c r="AL305" s="42" t="s">
        <v>56</v>
      </c>
      <c r="AP305" s="43" t="str">
        <f t="shared" si="3"/>
        <v>REALIZADO</v>
      </c>
      <c r="AV305" s="44" t="s">
        <v>46</v>
      </c>
      <c r="AW305" s="45"/>
      <c r="AX305" s="35"/>
    </row>
    <row r="306">
      <c r="A306" s="24"/>
      <c r="B306" s="36" t="s">
        <v>41</v>
      </c>
      <c r="C306" s="37">
        <v>45728.0</v>
      </c>
      <c r="F306" s="38">
        <v>0.8645833333333334</v>
      </c>
      <c r="I306" s="39" t="s">
        <v>787</v>
      </c>
      <c r="S306" s="39" t="s">
        <v>268</v>
      </c>
      <c r="AE306" s="40">
        <v>0.041666666666666664</v>
      </c>
      <c r="AG306" s="39" t="s">
        <v>788</v>
      </c>
      <c r="AJ306" s="41" t="s">
        <v>789</v>
      </c>
      <c r="AL306" s="42" t="s">
        <v>56</v>
      </c>
      <c r="AP306" s="43" t="str">
        <f t="shared" si="3"/>
        <v>REALIZADO</v>
      </c>
      <c r="AV306" s="44" t="s">
        <v>46</v>
      </c>
      <c r="AW306" s="45"/>
      <c r="AX306" s="35"/>
    </row>
    <row r="307">
      <c r="A307" s="24"/>
      <c r="B307" s="36" t="s">
        <v>41</v>
      </c>
      <c r="C307" s="37">
        <v>45729.0</v>
      </c>
      <c r="F307" s="38">
        <v>0.5</v>
      </c>
      <c r="I307" s="39" t="s">
        <v>790</v>
      </c>
      <c r="S307" s="39" t="s">
        <v>774</v>
      </c>
      <c r="AE307" s="40">
        <v>0.0625</v>
      </c>
      <c r="AG307" s="39" t="s">
        <v>682</v>
      </c>
      <c r="AJ307" s="41" t="s">
        <v>44</v>
      </c>
      <c r="AL307" s="42" t="s">
        <v>56</v>
      </c>
      <c r="AP307" s="43" t="str">
        <f t="shared" si="3"/>
        <v>ABORTIVA</v>
      </c>
      <c r="AV307" s="44" t="s">
        <v>69</v>
      </c>
      <c r="AW307" s="45"/>
      <c r="AX307" s="35"/>
    </row>
    <row r="308">
      <c r="A308" s="24"/>
      <c r="B308" s="36" t="s">
        <v>41</v>
      </c>
      <c r="C308" s="37">
        <v>45729.0</v>
      </c>
      <c r="F308" s="38">
        <v>0.9166666666666666</v>
      </c>
      <c r="I308" s="39" t="s">
        <v>791</v>
      </c>
      <c r="S308" s="39" t="s">
        <v>268</v>
      </c>
      <c r="AE308" s="40">
        <v>0.041666666666666664</v>
      </c>
      <c r="AG308" s="39" t="s">
        <v>788</v>
      </c>
      <c r="AJ308" s="41" t="s">
        <v>792</v>
      </c>
      <c r="AL308" s="42" t="s">
        <v>56</v>
      </c>
      <c r="AP308" s="43" t="str">
        <f t="shared" si="3"/>
        <v>REALIZADO</v>
      </c>
      <c r="AV308" s="44" t="s">
        <v>46</v>
      </c>
      <c r="AW308" s="45"/>
      <c r="AX308" s="35"/>
    </row>
    <row r="309">
      <c r="A309" s="24"/>
      <c r="B309" s="36" t="s">
        <v>41</v>
      </c>
      <c r="C309" s="37">
        <v>45730.0</v>
      </c>
      <c r="F309" s="38">
        <v>0.5208333333333334</v>
      </c>
      <c r="I309" s="39" t="s">
        <v>793</v>
      </c>
      <c r="S309" s="39" t="s">
        <v>769</v>
      </c>
      <c r="AE309" s="40">
        <v>0.0625</v>
      </c>
      <c r="AG309" s="39" t="s">
        <v>696</v>
      </c>
      <c r="AJ309" s="41" t="s">
        <v>44</v>
      </c>
      <c r="AL309" s="42" t="s">
        <v>56</v>
      </c>
      <c r="AP309" s="43" t="str">
        <f t="shared" si="3"/>
        <v>ABORTIVA</v>
      </c>
      <c r="AV309" s="44" t="s">
        <v>713</v>
      </c>
      <c r="AW309" s="45"/>
      <c r="AX309" s="35"/>
    </row>
    <row r="310">
      <c r="A310" s="24"/>
      <c r="B310" s="36" t="s">
        <v>34</v>
      </c>
      <c r="C310" s="37">
        <v>45730.0</v>
      </c>
      <c r="F310" s="38">
        <v>0.875</v>
      </c>
      <c r="I310" s="39" t="s">
        <v>794</v>
      </c>
      <c r="S310" s="39" t="s">
        <v>795</v>
      </c>
      <c r="AE310" s="40">
        <v>0.03125</v>
      </c>
      <c r="AG310" s="39" t="s">
        <v>796</v>
      </c>
      <c r="AJ310" s="41" t="s">
        <v>797</v>
      </c>
      <c r="AL310" s="42" t="s">
        <v>68</v>
      </c>
      <c r="AP310" s="43" t="str">
        <f t="shared" si="3"/>
        <v>REALIZADO</v>
      </c>
      <c r="AV310" s="44" t="s">
        <v>46</v>
      </c>
      <c r="AW310" s="45"/>
      <c r="AX310" s="35"/>
    </row>
    <row r="311">
      <c r="A311" s="24"/>
      <c r="B311" s="36" t="s">
        <v>34</v>
      </c>
      <c r="C311" s="37">
        <v>45731.0</v>
      </c>
      <c r="F311" s="38">
        <v>0.5</v>
      </c>
      <c r="I311" s="39" t="s">
        <v>798</v>
      </c>
      <c r="S311" s="39" t="s">
        <v>799</v>
      </c>
      <c r="AE311" s="40">
        <v>0.40625</v>
      </c>
      <c r="AG311" s="39" t="s">
        <v>800</v>
      </c>
      <c r="AJ311" s="41" t="s">
        <v>801</v>
      </c>
      <c r="AL311" s="42" t="s">
        <v>53</v>
      </c>
      <c r="AP311" s="43" t="str">
        <f t="shared" si="3"/>
        <v>REALIZADO</v>
      </c>
      <c r="AV311" s="44" t="s">
        <v>46</v>
      </c>
      <c r="AW311" s="45"/>
      <c r="AX311" s="35"/>
    </row>
    <row r="312">
      <c r="A312" s="24"/>
      <c r="B312" s="36" t="s">
        <v>34</v>
      </c>
      <c r="C312" s="37">
        <v>45732.0</v>
      </c>
      <c r="F312" s="38">
        <v>0.75</v>
      </c>
      <c r="I312" s="39" t="s">
        <v>794</v>
      </c>
      <c r="S312" s="39" t="s">
        <v>802</v>
      </c>
      <c r="AE312" s="40">
        <v>0.03125</v>
      </c>
      <c r="AG312" s="39" t="s">
        <v>796</v>
      </c>
      <c r="AJ312" s="41" t="s">
        <v>797</v>
      </c>
      <c r="AL312" s="42" t="s">
        <v>68</v>
      </c>
      <c r="AP312" s="43" t="str">
        <f t="shared" si="3"/>
        <v>REALIZADO</v>
      </c>
      <c r="AV312" s="44" t="s">
        <v>46</v>
      </c>
      <c r="AW312" s="45"/>
      <c r="AX312" s="35"/>
    </row>
    <row r="313">
      <c r="A313" s="24"/>
      <c r="B313" s="36" t="s">
        <v>41</v>
      </c>
      <c r="C313" s="37">
        <v>45733.0</v>
      </c>
      <c r="F313" s="38">
        <v>0.75</v>
      </c>
      <c r="I313" s="39" t="s">
        <v>803</v>
      </c>
      <c r="S313" s="39" t="s">
        <v>769</v>
      </c>
      <c r="AE313" s="40">
        <v>0.0625</v>
      </c>
      <c r="AG313" s="39" t="s">
        <v>696</v>
      </c>
      <c r="AJ313" s="41" t="s">
        <v>44</v>
      </c>
      <c r="AL313" s="42" t="s">
        <v>45</v>
      </c>
      <c r="AP313" s="43" t="str">
        <f t="shared" si="3"/>
        <v>ABORTIVA</v>
      </c>
      <c r="AV313" s="44" t="s">
        <v>713</v>
      </c>
      <c r="AW313" s="45"/>
      <c r="AX313" s="35"/>
    </row>
    <row r="314">
      <c r="A314" s="24"/>
      <c r="B314" s="36" t="s">
        <v>41</v>
      </c>
      <c r="C314" s="37">
        <v>45733.0</v>
      </c>
      <c r="F314" s="38">
        <v>0.8645833333333334</v>
      </c>
      <c r="I314" s="39" t="s">
        <v>804</v>
      </c>
      <c r="S314" s="39" t="s">
        <v>687</v>
      </c>
      <c r="AE314" s="40">
        <v>0.041666666666666664</v>
      </c>
      <c r="AG314" s="39" t="s">
        <v>715</v>
      </c>
      <c r="AJ314" s="41" t="s">
        <v>805</v>
      </c>
      <c r="AL314" s="42" t="s">
        <v>53</v>
      </c>
      <c r="AP314" s="43" t="str">
        <f t="shared" si="3"/>
        <v>REALIZADO</v>
      </c>
      <c r="AV314" s="44" t="s">
        <v>46</v>
      </c>
      <c r="AW314" s="45"/>
      <c r="AX314" s="35"/>
    </row>
    <row r="315">
      <c r="A315" s="24"/>
      <c r="B315" s="36" t="s">
        <v>34</v>
      </c>
      <c r="C315" s="37">
        <v>45734.0</v>
      </c>
      <c r="F315" s="38">
        <v>0.4583333333333333</v>
      </c>
      <c r="I315" s="39" t="s">
        <v>806</v>
      </c>
      <c r="S315" s="39" t="s">
        <v>807</v>
      </c>
      <c r="AE315" s="40">
        <v>0.2777777777777778</v>
      </c>
      <c r="AG315" s="39" t="s">
        <v>808</v>
      </c>
      <c r="AJ315" s="41" t="s">
        <v>809</v>
      </c>
      <c r="AL315" s="42" t="s">
        <v>56</v>
      </c>
      <c r="AP315" s="43" t="str">
        <f t="shared" si="3"/>
        <v>REALIZADO</v>
      </c>
      <c r="AV315" s="44" t="s">
        <v>46</v>
      </c>
      <c r="AW315" s="45"/>
      <c r="AX315" s="35"/>
    </row>
    <row r="316">
      <c r="A316" s="24"/>
      <c r="B316" s="36" t="s">
        <v>34</v>
      </c>
      <c r="C316" s="37">
        <v>45734.0</v>
      </c>
      <c r="F316" s="38">
        <v>0.4305555555555556</v>
      </c>
      <c r="I316" s="39" t="s">
        <v>810</v>
      </c>
      <c r="S316" s="39" t="s">
        <v>357</v>
      </c>
      <c r="AE316" s="40">
        <v>0.2222222222222222</v>
      </c>
      <c r="AG316" s="39" t="s">
        <v>811</v>
      </c>
      <c r="AJ316" s="41" t="s">
        <v>812</v>
      </c>
      <c r="AL316" s="42" t="s">
        <v>68</v>
      </c>
      <c r="AP316" s="43" t="str">
        <f t="shared" si="3"/>
        <v>REALIZADO</v>
      </c>
      <c r="AV316" s="44" t="s">
        <v>46</v>
      </c>
      <c r="AW316" s="45"/>
      <c r="AX316" s="35"/>
    </row>
    <row r="317">
      <c r="A317" s="24"/>
      <c r="B317" s="36" t="s">
        <v>41</v>
      </c>
      <c r="C317" s="37">
        <v>45734.0</v>
      </c>
      <c r="F317" s="38">
        <v>0.8333333333333334</v>
      </c>
      <c r="I317" s="39" t="s">
        <v>813</v>
      </c>
      <c r="S317" s="39" t="s">
        <v>769</v>
      </c>
      <c r="AE317" s="40">
        <v>0.0625</v>
      </c>
      <c r="AG317" s="39" t="s">
        <v>738</v>
      </c>
      <c r="AJ317" s="41" t="s">
        <v>814</v>
      </c>
      <c r="AL317" s="42" t="s">
        <v>68</v>
      </c>
      <c r="AP317" s="43" t="str">
        <f t="shared" si="3"/>
        <v>REALIZADO</v>
      </c>
      <c r="AV317" s="44" t="s">
        <v>46</v>
      </c>
      <c r="AW317" s="45"/>
      <c r="AX317" s="35"/>
    </row>
    <row r="318">
      <c r="A318" s="24"/>
      <c r="B318" s="36" t="s">
        <v>41</v>
      </c>
      <c r="C318" s="37">
        <v>45734.0</v>
      </c>
      <c r="F318" s="38">
        <v>0.8576388888888888</v>
      </c>
      <c r="I318" s="39" t="s">
        <v>815</v>
      </c>
      <c r="S318" s="39" t="s">
        <v>185</v>
      </c>
      <c r="AE318" s="40">
        <v>0.003472222222222222</v>
      </c>
      <c r="AG318" s="39" t="s">
        <v>44</v>
      </c>
      <c r="AJ318" s="41" t="s">
        <v>816</v>
      </c>
      <c r="AL318" s="42" t="s">
        <v>45</v>
      </c>
      <c r="AP318" s="43" t="str">
        <f t="shared" si="3"/>
        <v>REALIZADO</v>
      </c>
      <c r="AV318" s="44" t="s">
        <v>46</v>
      </c>
      <c r="AW318" s="45"/>
      <c r="AX318" s="35"/>
    </row>
    <row r="319">
      <c r="A319" s="24"/>
      <c r="B319" s="36" t="s">
        <v>34</v>
      </c>
      <c r="C319" s="37">
        <v>45735.0</v>
      </c>
      <c r="F319" s="38">
        <v>0.2777777777777778</v>
      </c>
      <c r="I319" s="39" t="s">
        <v>817</v>
      </c>
      <c r="S319" s="39" t="s">
        <v>357</v>
      </c>
      <c r="AE319" s="40">
        <v>0.2777777777777778</v>
      </c>
      <c r="AG319" s="39" t="s">
        <v>818</v>
      </c>
      <c r="AJ319" s="41" t="s">
        <v>819</v>
      </c>
      <c r="AL319" s="42" t="s">
        <v>45</v>
      </c>
      <c r="AP319" s="43" t="str">
        <f t="shared" si="3"/>
        <v>REALIZADO</v>
      </c>
      <c r="AV319" s="44" t="s">
        <v>46</v>
      </c>
      <c r="AW319" s="45"/>
      <c r="AX319" s="35"/>
    </row>
    <row r="320">
      <c r="A320" s="24"/>
      <c r="B320" s="36" t="s">
        <v>41</v>
      </c>
      <c r="C320" s="37">
        <v>45735.0</v>
      </c>
      <c r="F320" s="38">
        <v>0.4166666666666667</v>
      </c>
      <c r="I320" s="39" t="s">
        <v>820</v>
      </c>
      <c r="S320" s="39" t="s">
        <v>769</v>
      </c>
      <c r="AE320" s="40">
        <v>0.0625</v>
      </c>
      <c r="AG320" s="39" t="s">
        <v>696</v>
      </c>
      <c r="AJ320" s="41" t="s">
        <v>44</v>
      </c>
      <c r="AL320" s="42" t="s">
        <v>45</v>
      </c>
      <c r="AP320" s="43" t="str">
        <f t="shared" si="3"/>
        <v>ABORTIVA</v>
      </c>
      <c r="AV320" s="44" t="s">
        <v>57</v>
      </c>
      <c r="AW320" s="45"/>
      <c r="AX320" s="35"/>
    </row>
    <row r="321">
      <c r="A321" s="24"/>
      <c r="B321" s="36" t="s">
        <v>34</v>
      </c>
      <c r="C321" s="37">
        <v>45735.0</v>
      </c>
      <c r="F321" s="38">
        <v>0.4166666666666667</v>
      </c>
      <c r="I321" s="39" t="s">
        <v>821</v>
      </c>
      <c r="S321" s="39" t="s">
        <v>822</v>
      </c>
      <c r="AE321" s="40">
        <v>0.5347222222222222</v>
      </c>
      <c r="AG321" s="39" t="s">
        <v>823</v>
      </c>
      <c r="AJ321" s="58" t="s">
        <v>824</v>
      </c>
      <c r="AL321" s="42" t="s">
        <v>68</v>
      </c>
      <c r="AP321" s="43" t="str">
        <f t="shared" si="3"/>
        <v>REALIZADO</v>
      </c>
      <c r="AV321" s="44" t="s">
        <v>46</v>
      </c>
      <c r="AW321" s="45"/>
      <c r="AX321" s="35"/>
    </row>
    <row r="322">
      <c r="A322" s="24"/>
      <c r="B322" s="36" t="s">
        <v>41</v>
      </c>
      <c r="C322" s="37">
        <v>45735.0</v>
      </c>
      <c r="F322" s="38">
        <v>0.5</v>
      </c>
      <c r="I322" s="39" t="s">
        <v>825</v>
      </c>
      <c r="S322" s="39" t="s">
        <v>414</v>
      </c>
      <c r="AE322" s="40">
        <v>0.08333333333333333</v>
      </c>
      <c r="AG322" s="39" t="s">
        <v>44</v>
      </c>
      <c r="AJ322" s="41" t="s">
        <v>44</v>
      </c>
      <c r="AL322" s="42" t="s">
        <v>414</v>
      </c>
      <c r="AP322" s="43" t="str">
        <f t="shared" si="3"/>
        <v>REALIZADO</v>
      </c>
      <c r="AV322" s="44" t="s">
        <v>46</v>
      </c>
      <c r="AW322" s="45"/>
      <c r="AX322" s="35"/>
    </row>
    <row r="323">
      <c r="A323" s="24"/>
      <c r="B323" s="36" t="s">
        <v>41</v>
      </c>
      <c r="C323" s="37">
        <v>45736.0</v>
      </c>
      <c r="F323" s="38">
        <v>0.75</v>
      </c>
      <c r="I323" s="39" t="s">
        <v>803</v>
      </c>
      <c r="S323" s="39" t="s">
        <v>769</v>
      </c>
      <c r="AE323" s="40">
        <v>0.0625</v>
      </c>
      <c r="AG323" s="39" t="s">
        <v>696</v>
      </c>
      <c r="AJ323" s="41" t="s">
        <v>826</v>
      </c>
      <c r="AL323" s="42" t="s">
        <v>45</v>
      </c>
      <c r="AP323" s="43" t="str">
        <f t="shared" si="3"/>
        <v>REALIZADO</v>
      </c>
      <c r="AV323" s="44" t="s">
        <v>46</v>
      </c>
      <c r="AW323" s="45"/>
      <c r="AX323" s="35"/>
    </row>
    <row r="324">
      <c r="A324" s="24"/>
      <c r="B324" s="36" t="s">
        <v>41</v>
      </c>
      <c r="C324" s="37">
        <v>45736.0</v>
      </c>
      <c r="F324" s="38">
        <v>0.8645833333333334</v>
      </c>
      <c r="I324" s="39" t="s">
        <v>827</v>
      </c>
      <c r="S324" s="39" t="s">
        <v>711</v>
      </c>
      <c r="AE324" s="40">
        <v>0.041666666666666664</v>
      </c>
      <c r="AG324" s="39" t="s">
        <v>715</v>
      </c>
      <c r="AJ324" s="41" t="s">
        <v>828</v>
      </c>
      <c r="AL324" s="42" t="s">
        <v>45</v>
      </c>
      <c r="AP324" s="43" t="str">
        <f t="shared" si="3"/>
        <v>REALIZADO</v>
      </c>
      <c r="AV324" s="44" t="s">
        <v>46</v>
      </c>
      <c r="AW324" s="45"/>
      <c r="AX324" s="35"/>
    </row>
    <row r="325">
      <c r="A325" s="24"/>
      <c r="B325" s="36" t="s">
        <v>41</v>
      </c>
      <c r="C325" s="37">
        <v>45736.0</v>
      </c>
      <c r="F325" s="38">
        <v>0.9375</v>
      </c>
      <c r="I325" s="39" t="s">
        <v>829</v>
      </c>
      <c r="S325" s="39" t="s">
        <v>711</v>
      </c>
      <c r="AE325" s="40">
        <v>0.041666666666666664</v>
      </c>
      <c r="AG325" s="39" t="s">
        <v>715</v>
      </c>
      <c r="AJ325" s="41" t="s">
        <v>830</v>
      </c>
      <c r="AL325" s="42" t="s">
        <v>45</v>
      </c>
      <c r="AP325" s="43" t="str">
        <f t="shared" si="3"/>
        <v>REALIZADO</v>
      </c>
      <c r="AV325" s="44" t="s">
        <v>46</v>
      </c>
      <c r="AW325" s="45"/>
      <c r="AX325" s="35"/>
    </row>
    <row r="326">
      <c r="A326" s="24"/>
      <c r="B326" s="36" t="s">
        <v>34</v>
      </c>
      <c r="C326" s="37">
        <v>45737.0</v>
      </c>
      <c r="F326" s="38">
        <v>0.5</v>
      </c>
      <c r="I326" s="39" t="s">
        <v>831</v>
      </c>
      <c r="S326" s="39" t="s">
        <v>832</v>
      </c>
      <c r="AE326" s="40">
        <v>0.4201388888888889</v>
      </c>
      <c r="AG326" s="39" t="s">
        <v>823</v>
      </c>
      <c r="AJ326" s="58" t="s">
        <v>833</v>
      </c>
      <c r="AL326" s="42" t="s">
        <v>68</v>
      </c>
      <c r="AP326" s="43" t="str">
        <f t="shared" si="3"/>
        <v>REALIZADO</v>
      </c>
      <c r="AV326" s="44" t="s">
        <v>46</v>
      </c>
      <c r="AW326" s="45"/>
      <c r="AX326" s="35"/>
    </row>
    <row r="327">
      <c r="A327" s="24"/>
      <c r="B327" s="36" t="s">
        <v>34</v>
      </c>
      <c r="C327" s="37">
        <v>45738.0</v>
      </c>
      <c r="F327" s="38">
        <v>0.4583333333333333</v>
      </c>
      <c r="I327" s="39" t="s">
        <v>834</v>
      </c>
      <c r="S327" s="39" t="s">
        <v>835</v>
      </c>
      <c r="AE327" s="40">
        <v>0.4375</v>
      </c>
      <c r="AG327" s="39" t="s">
        <v>836</v>
      </c>
      <c r="AJ327" s="59" t="s">
        <v>837</v>
      </c>
      <c r="AL327" s="42" t="s">
        <v>53</v>
      </c>
      <c r="AP327" s="43" t="str">
        <f t="shared" si="3"/>
        <v>REALIZADO</v>
      </c>
      <c r="AV327" s="44" t="s">
        <v>46</v>
      </c>
      <c r="AW327" s="45"/>
      <c r="AX327" s="35"/>
    </row>
    <row r="328">
      <c r="A328" s="24"/>
      <c r="B328" s="36" t="s">
        <v>34</v>
      </c>
      <c r="C328" s="37">
        <v>45739.0</v>
      </c>
      <c r="F328" s="38">
        <v>0.5</v>
      </c>
      <c r="I328" s="39" t="s">
        <v>838</v>
      </c>
      <c r="S328" s="39" t="s">
        <v>270</v>
      </c>
      <c r="AE328" s="40">
        <v>0.0625</v>
      </c>
      <c r="AG328" s="39" t="s">
        <v>839</v>
      </c>
      <c r="AJ328" s="41" t="s">
        <v>840</v>
      </c>
      <c r="AL328" s="42" t="s">
        <v>68</v>
      </c>
      <c r="AP328" s="43" t="str">
        <f t="shared" si="3"/>
        <v>REALIZADO</v>
      </c>
      <c r="AV328" s="44" t="s">
        <v>46</v>
      </c>
      <c r="AW328" s="45"/>
      <c r="AX328" s="35"/>
    </row>
    <row r="329">
      <c r="A329" s="24"/>
      <c r="B329" s="36" t="s">
        <v>34</v>
      </c>
      <c r="C329" s="37">
        <v>45739.0</v>
      </c>
      <c r="F329" s="38">
        <v>0.75</v>
      </c>
      <c r="I329" s="39" t="s">
        <v>841</v>
      </c>
      <c r="S329" s="39" t="s">
        <v>842</v>
      </c>
      <c r="AE329" s="40">
        <v>0.1875</v>
      </c>
      <c r="AG329" s="39" t="s">
        <v>843</v>
      </c>
      <c r="AJ329" s="59" t="s">
        <v>837</v>
      </c>
      <c r="AL329" s="42" t="s">
        <v>53</v>
      </c>
      <c r="AP329" s="43" t="s">
        <v>421</v>
      </c>
      <c r="AV329" s="44" t="s">
        <v>46</v>
      </c>
      <c r="AW329" s="45"/>
      <c r="AX329" s="35"/>
    </row>
    <row r="330">
      <c r="A330" s="24"/>
      <c r="B330" s="36" t="s">
        <v>41</v>
      </c>
      <c r="C330" s="37">
        <v>45740.0</v>
      </c>
      <c r="F330" s="38">
        <v>0.4583333333333333</v>
      </c>
      <c r="I330" s="39" t="s">
        <v>844</v>
      </c>
      <c r="S330" s="39" t="s">
        <v>774</v>
      </c>
      <c r="AE330" s="40">
        <v>0.0625</v>
      </c>
      <c r="AG330" s="39" t="s">
        <v>682</v>
      </c>
      <c r="AJ330" s="41" t="s">
        <v>44</v>
      </c>
      <c r="AL330" s="42" t="s">
        <v>45</v>
      </c>
      <c r="AP330" s="43" t="str">
        <f t="shared" ref="AP330:AP682" si="4">IF(C330="","",
IF(AG330="","AGD OFRAG",
IF(AND(AG330&lt;&gt;"",AV330=""),"PROGRAMADA",
IF(AND(AG330&lt;&gt;"",AV330="ARR"),"REALIZADO",
IF(AND(AG330&lt;&gt;"",OR(AV330="SMAT",AV330="SMET",AV330="SOSP",AV330="SPES",AV330="VMAT",AV330="VMET",AV330="VOSP",AV330="VPES")),"ABORTIVA",
IF(AND(AG330&lt;&gt;"",AV330&lt;&gt;""),"EM EXECUÇÃO"))))))</f>
        <v>ABORTIVA</v>
      </c>
      <c r="AV330" s="44" t="s">
        <v>69</v>
      </c>
      <c r="AW330" s="45"/>
      <c r="AX330" s="35"/>
    </row>
    <row r="331">
      <c r="A331" s="24"/>
      <c r="B331" s="36" t="s">
        <v>34</v>
      </c>
      <c r="C331" s="37">
        <v>45740.0</v>
      </c>
      <c r="F331" s="38">
        <v>0.5</v>
      </c>
      <c r="I331" s="39" t="s">
        <v>845</v>
      </c>
      <c r="S331" s="39" t="s">
        <v>846</v>
      </c>
      <c r="AE331" s="40">
        <v>0.3611111111111111</v>
      </c>
      <c r="AG331" s="39" t="s">
        <v>847</v>
      </c>
      <c r="AJ331" s="41" t="s">
        <v>848</v>
      </c>
      <c r="AL331" s="42" t="s">
        <v>82</v>
      </c>
      <c r="AP331" s="43" t="str">
        <f t="shared" si="4"/>
        <v>REALIZADO</v>
      </c>
      <c r="AV331" s="44" t="s">
        <v>46</v>
      </c>
      <c r="AW331" s="45"/>
      <c r="AX331" s="35"/>
    </row>
    <row r="332">
      <c r="A332" s="24"/>
      <c r="B332" s="36" t="s">
        <v>34</v>
      </c>
      <c r="C332" s="37">
        <v>45740.0</v>
      </c>
      <c r="F332" s="38">
        <v>0.5</v>
      </c>
      <c r="I332" s="39" t="s">
        <v>849</v>
      </c>
      <c r="S332" s="39" t="s">
        <v>850</v>
      </c>
      <c r="AE332" s="40">
        <v>0.78125</v>
      </c>
      <c r="AG332" s="39" t="s">
        <v>851</v>
      </c>
      <c r="AJ332" s="41" t="s">
        <v>852</v>
      </c>
      <c r="AL332" s="42" t="s">
        <v>56</v>
      </c>
      <c r="AP332" s="43" t="str">
        <f t="shared" si="4"/>
        <v>REALIZADO</v>
      </c>
      <c r="AV332" s="44" t="s">
        <v>46</v>
      </c>
      <c r="AW332" s="45"/>
      <c r="AX332" s="35"/>
    </row>
    <row r="333">
      <c r="A333" s="24"/>
      <c r="B333" s="36" t="s">
        <v>41</v>
      </c>
      <c r="C333" s="37">
        <v>45741.0</v>
      </c>
      <c r="F333" s="38">
        <v>0.5833333333333334</v>
      </c>
      <c r="I333" s="39" t="s">
        <v>853</v>
      </c>
      <c r="S333" s="39" t="s">
        <v>774</v>
      </c>
      <c r="AE333" s="40">
        <v>0.0625</v>
      </c>
      <c r="AG333" s="39" t="s">
        <v>682</v>
      </c>
      <c r="AJ333" s="41" t="s">
        <v>854</v>
      </c>
      <c r="AL333" s="42" t="s">
        <v>45</v>
      </c>
      <c r="AP333" s="43" t="str">
        <f t="shared" si="4"/>
        <v>ABORTIVA</v>
      </c>
      <c r="AV333" s="44" t="s">
        <v>98</v>
      </c>
      <c r="AW333" s="45"/>
      <c r="AX333" s="35"/>
    </row>
    <row r="334">
      <c r="A334" s="24"/>
      <c r="B334" s="36" t="s">
        <v>41</v>
      </c>
      <c r="C334" s="37">
        <v>45741.0</v>
      </c>
      <c r="F334" s="38">
        <v>0.875</v>
      </c>
      <c r="I334" s="39" t="s">
        <v>855</v>
      </c>
      <c r="S334" s="39" t="s">
        <v>687</v>
      </c>
      <c r="AE334" s="40">
        <v>0.041666666666666664</v>
      </c>
      <c r="AG334" s="39" t="s">
        <v>712</v>
      </c>
      <c r="AJ334" s="41" t="s">
        <v>44</v>
      </c>
      <c r="AL334" s="42" t="s">
        <v>45</v>
      </c>
      <c r="AP334" s="43" t="str">
        <f t="shared" si="4"/>
        <v>ABORTIVA</v>
      </c>
      <c r="AV334" s="44" t="s">
        <v>69</v>
      </c>
      <c r="AW334" s="45"/>
      <c r="AX334" s="35"/>
    </row>
    <row r="335">
      <c r="A335" s="24"/>
      <c r="B335" s="36" t="s">
        <v>41</v>
      </c>
      <c r="C335" s="37">
        <v>45741.0</v>
      </c>
      <c r="F335" s="38">
        <v>0.9583333333333334</v>
      </c>
      <c r="I335" s="39" t="s">
        <v>856</v>
      </c>
      <c r="S335" s="39" t="s">
        <v>687</v>
      </c>
      <c r="AE335" s="40">
        <v>0.041666666666666664</v>
      </c>
      <c r="AG335" s="39" t="s">
        <v>715</v>
      </c>
      <c r="AJ335" s="41" t="s">
        <v>44</v>
      </c>
      <c r="AL335" s="42" t="s">
        <v>45</v>
      </c>
      <c r="AP335" s="43" t="str">
        <f t="shared" si="4"/>
        <v>ABORTIVA</v>
      </c>
      <c r="AV335" s="44" t="s">
        <v>69</v>
      </c>
      <c r="AW335" s="45"/>
      <c r="AX335" s="35"/>
    </row>
    <row r="336">
      <c r="A336" s="24"/>
      <c r="B336" s="36" t="s">
        <v>34</v>
      </c>
      <c r="C336" s="37">
        <v>45743.0</v>
      </c>
      <c r="F336" s="38">
        <v>0.03125</v>
      </c>
      <c r="I336" s="39" t="s">
        <v>662</v>
      </c>
      <c r="S336" s="39" t="s">
        <v>857</v>
      </c>
      <c r="AE336" s="40">
        <v>0.1527777777777778</v>
      </c>
      <c r="AG336" s="39" t="s">
        <v>858</v>
      </c>
      <c r="AJ336" s="41" t="s">
        <v>859</v>
      </c>
      <c r="AL336" s="42" t="s">
        <v>68</v>
      </c>
      <c r="AP336" s="43" t="str">
        <f t="shared" si="4"/>
        <v>REALIZADO</v>
      </c>
      <c r="AV336" s="44" t="s">
        <v>46</v>
      </c>
      <c r="AW336" s="45"/>
      <c r="AX336" s="35"/>
    </row>
    <row r="337">
      <c r="A337" s="24"/>
      <c r="B337" s="36" t="s">
        <v>34</v>
      </c>
      <c r="C337" s="37">
        <v>45743.0</v>
      </c>
      <c r="F337" s="38">
        <v>0.5</v>
      </c>
      <c r="I337" s="39" t="s">
        <v>860</v>
      </c>
      <c r="S337" s="39" t="s">
        <v>861</v>
      </c>
      <c r="AE337" s="40">
        <v>0.3472222222222222</v>
      </c>
      <c r="AG337" s="39" t="s">
        <v>862</v>
      </c>
      <c r="AJ337" s="41" t="s">
        <v>863</v>
      </c>
      <c r="AL337" s="42" t="s">
        <v>68</v>
      </c>
      <c r="AP337" s="43" t="str">
        <f t="shared" si="4"/>
        <v>REALIZADO</v>
      </c>
      <c r="AV337" s="44" t="s">
        <v>46</v>
      </c>
      <c r="AW337" s="45"/>
      <c r="AX337" s="35"/>
    </row>
    <row r="338">
      <c r="A338" s="24"/>
      <c r="B338" s="36" t="s">
        <v>34</v>
      </c>
      <c r="C338" s="37">
        <v>45743.0</v>
      </c>
      <c r="F338" s="38">
        <v>0.7916666666666666</v>
      </c>
      <c r="I338" s="39" t="s">
        <v>864</v>
      </c>
      <c r="S338" s="39" t="s">
        <v>865</v>
      </c>
      <c r="AE338" s="40">
        <v>0.3819444444444444</v>
      </c>
      <c r="AG338" s="39" t="s">
        <v>866</v>
      </c>
      <c r="AJ338" s="41" t="s">
        <v>867</v>
      </c>
      <c r="AL338" s="42" t="s">
        <v>53</v>
      </c>
      <c r="AP338" s="43" t="str">
        <f t="shared" si="4"/>
        <v>REALIZADO</v>
      </c>
      <c r="AV338" s="44" t="s">
        <v>46</v>
      </c>
      <c r="AW338" s="45"/>
      <c r="AX338" s="35"/>
    </row>
    <row r="339">
      <c r="A339" s="24"/>
      <c r="B339" s="36" t="s">
        <v>34</v>
      </c>
      <c r="C339" s="37">
        <v>45745.0</v>
      </c>
      <c r="F339" s="38">
        <v>0.5</v>
      </c>
      <c r="I339" s="39" t="s">
        <v>868</v>
      </c>
      <c r="S339" s="39" t="s">
        <v>869</v>
      </c>
      <c r="AE339" s="40">
        <v>0.4409722222222222</v>
      </c>
      <c r="AG339" s="39" t="s">
        <v>870</v>
      </c>
      <c r="AJ339" s="41" t="s">
        <v>871</v>
      </c>
      <c r="AL339" s="42" t="s">
        <v>53</v>
      </c>
      <c r="AP339" s="43" t="str">
        <f t="shared" si="4"/>
        <v>REALIZADO</v>
      </c>
      <c r="AV339" s="44" t="s">
        <v>46</v>
      </c>
      <c r="AW339" s="45"/>
      <c r="AX339" s="35"/>
    </row>
    <row r="340">
      <c r="A340" s="24"/>
      <c r="B340" s="36" t="s">
        <v>34</v>
      </c>
      <c r="C340" s="37">
        <v>45745.0</v>
      </c>
      <c r="F340" s="38">
        <v>0.5416666666666666</v>
      </c>
      <c r="I340" s="39" t="s">
        <v>872</v>
      </c>
      <c r="S340" s="39" t="s">
        <v>873</v>
      </c>
      <c r="AE340" s="40">
        <v>0.3958333333333333</v>
      </c>
      <c r="AG340" s="39" t="s">
        <v>874</v>
      </c>
      <c r="AJ340" s="41" t="s">
        <v>875</v>
      </c>
      <c r="AL340" s="42" t="s">
        <v>259</v>
      </c>
      <c r="AP340" s="43" t="str">
        <f t="shared" si="4"/>
        <v>REALIZADO</v>
      </c>
      <c r="AV340" s="44" t="s">
        <v>46</v>
      </c>
      <c r="AW340" s="45"/>
      <c r="AX340" s="35"/>
    </row>
    <row r="341">
      <c r="A341" s="24"/>
      <c r="B341" s="36" t="s">
        <v>34</v>
      </c>
      <c r="C341" s="37">
        <v>45747.0</v>
      </c>
      <c r="F341" s="38">
        <v>0.5</v>
      </c>
      <c r="I341" s="39" t="s">
        <v>876</v>
      </c>
      <c r="S341" s="39" t="s">
        <v>89</v>
      </c>
      <c r="AE341" s="40">
        <v>0.19791666666666666</v>
      </c>
      <c r="AG341" s="39" t="s">
        <v>877</v>
      </c>
      <c r="AJ341" s="41" t="s">
        <v>878</v>
      </c>
      <c r="AL341" s="42" t="s">
        <v>68</v>
      </c>
      <c r="AP341" s="43" t="str">
        <f t="shared" si="4"/>
        <v>REALIZADO</v>
      </c>
      <c r="AV341" s="44" t="s">
        <v>46</v>
      </c>
      <c r="AW341" s="45"/>
      <c r="AX341" s="35"/>
    </row>
    <row r="342">
      <c r="A342" s="24"/>
      <c r="B342" s="36" t="s">
        <v>41</v>
      </c>
      <c r="C342" s="37">
        <v>45747.0</v>
      </c>
      <c r="F342" s="38">
        <v>0.75</v>
      </c>
      <c r="I342" s="39" t="s">
        <v>879</v>
      </c>
      <c r="S342" s="39" t="s">
        <v>687</v>
      </c>
      <c r="AE342" s="40">
        <v>0.041666666666666664</v>
      </c>
      <c r="AG342" s="39" t="s">
        <v>880</v>
      </c>
      <c r="AJ342" s="41" t="s">
        <v>44</v>
      </c>
      <c r="AL342" s="42" t="s">
        <v>53</v>
      </c>
      <c r="AP342" s="43" t="str">
        <f t="shared" si="4"/>
        <v>ABORTIVA</v>
      </c>
      <c r="AV342" s="44" t="s">
        <v>69</v>
      </c>
      <c r="AW342" s="45"/>
      <c r="AX342" s="35"/>
    </row>
    <row r="343">
      <c r="A343" s="24"/>
      <c r="B343" s="36" t="s">
        <v>41</v>
      </c>
      <c r="C343" s="37">
        <v>45747.0</v>
      </c>
      <c r="F343" s="38">
        <v>0.8125</v>
      </c>
      <c r="I343" s="39" t="s">
        <v>881</v>
      </c>
      <c r="S343" s="39" t="s">
        <v>268</v>
      </c>
      <c r="AE343" s="40">
        <v>0.013888888888888888</v>
      </c>
      <c r="AG343" s="39" t="s">
        <v>44</v>
      </c>
      <c r="AJ343" s="41" t="s">
        <v>882</v>
      </c>
      <c r="AL343" s="42" t="s">
        <v>45</v>
      </c>
      <c r="AP343" s="43" t="str">
        <f t="shared" si="4"/>
        <v>REALIZADO</v>
      </c>
      <c r="AV343" s="44" t="s">
        <v>46</v>
      </c>
      <c r="AW343" s="45"/>
      <c r="AX343" s="35"/>
    </row>
    <row r="344">
      <c r="A344" s="24"/>
      <c r="B344" s="36" t="s">
        <v>41</v>
      </c>
      <c r="C344" s="37">
        <v>45748.0</v>
      </c>
      <c r="F344" s="38">
        <v>0.7708333333333334</v>
      </c>
      <c r="I344" s="39" t="s">
        <v>879</v>
      </c>
      <c r="S344" s="39" t="s">
        <v>687</v>
      </c>
      <c r="AE344" s="40">
        <v>0.041666666666666664</v>
      </c>
      <c r="AG344" s="39" t="s">
        <v>880</v>
      </c>
      <c r="AJ344" s="41" t="s">
        <v>44</v>
      </c>
      <c r="AL344" s="42" t="s">
        <v>53</v>
      </c>
      <c r="AP344" s="43" t="str">
        <f t="shared" si="4"/>
        <v>ABORTIVA</v>
      </c>
      <c r="AV344" s="44" t="s">
        <v>69</v>
      </c>
      <c r="AW344" s="45"/>
      <c r="AX344" s="35"/>
    </row>
    <row r="345">
      <c r="A345" s="24"/>
      <c r="B345" s="36" t="s">
        <v>41</v>
      </c>
      <c r="C345" s="37">
        <v>45748.0</v>
      </c>
      <c r="F345" s="38">
        <v>0.8125</v>
      </c>
      <c r="I345" s="39" t="s">
        <v>883</v>
      </c>
      <c r="S345" s="39" t="s">
        <v>268</v>
      </c>
      <c r="AE345" s="40">
        <v>0.041666666666666664</v>
      </c>
      <c r="AG345" s="39" t="s">
        <v>788</v>
      </c>
      <c r="AJ345" s="41" t="s">
        <v>884</v>
      </c>
      <c r="AL345" s="42" t="s">
        <v>68</v>
      </c>
      <c r="AP345" s="43" t="str">
        <f t="shared" si="4"/>
        <v>REALIZADO</v>
      </c>
      <c r="AV345" s="44" t="s">
        <v>46</v>
      </c>
      <c r="AW345" s="45"/>
      <c r="AX345" s="35"/>
    </row>
    <row r="346">
      <c r="A346" s="24"/>
      <c r="B346" s="36" t="s">
        <v>41</v>
      </c>
      <c r="C346" s="37">
        <v>45749.0</v>
      </c>
      <c r="F346" s="38">
        <v>0.4583333333333333</v>
      </c>
      <c r="I346" s="39" t="s">
        <v>790</v>
      </c>
      <c r="S346" s="39" t="s">
        <v>185</v>
      </c>
      <c r="AE346" s="40">
        <v>0.027777777777777776</v>
      </c>
      <c r="AG346" s="39" t="s">
        <v>682</v>
      </c>
      <c r="AJ346" s="41" t="s">
        <v>885</v>
      </c>
      <c r="AL346" s="42" t="s">
        <v>45</v>
      </c>
      <c r="AP346" s="43" t="str">
        <f t="shared" si="4"/>
        <v>REALIZADO</v>
      </c>
      <c r="AV346" s="44" t="s">
        <v>46</v>
      </c>
      <c r="AW346" s="45"/>
      <c r="AX346" s="35"/>
    </row>
    <row r="347">
      <c r="A347" s="24"/>
      <c r="B347" s="36" t="s">
        <v>41</v>
      </c>
      <c r="C347" s="37">
        <v>45749.0</v>
      </c>
      <c r="F347" s="38">
        <v>0.625</v>
      </c>
      <c r="I347" s="39" t="s">
        <v>886</v>
      </c>
      <c r="S347" s="39" t="s">
        <v>44</v>
      </c>
      <c r="AE347" s="40">
        <v>0.08333333333333333</v>
      </c>
      <c r="AG347" s="39" t="s">
        <v>626</v>
      </c>
      <c r="AJ347" s="41" t="s">
        <v>44</v>
      </c>
      <c r="AL347" s="42" t="s">
        <v>56</v>
      </c>
      <c r="AP347" s="43" t="str">
        <f t="shared" si="4"/>
        <v>REALIZADO</v>
      </c>
      <c r="AV347" s="44" t="s">
        <v>46</v>
      </c>
      <c r="AW347" s="45"/>
      <c r="AX347" s="35"/>
    </row>
    <row r="348">
      <c r="A348" s="24"/>
      <c r="B348" s="36" t="s">
        <v>41</v>
      </c>
      <c r="C348" s="37">
        <v>45749.0</v>
      </c>
      <c r="F348" s="38">
        <v>0.8645833333333334</v>
      </c>
      <c r="I348" s="39" t="s">
        <v>887</v>
      </c>
      <c r="S348" s="39" t="s">
        <v>711</v>
      </c>
      <c r="AE348" s="40">
        <v>0.041666666666666664</v>
      </c>
      <c r="AG348" s="39" t="s">
        <v>715</v>
      </c>
      <c r="AJ348" s="41" t="s">
        <v>888</v>
      </c>
      <c r="AL348" s="42" t="s">
        <v>45</v>
      </c>
      <c r="AP348" s="43" t="str">
        <f t="shared" si="4"/>
        <v>REALIZADO</v>
      </c>
      <c r="AV348" s="44" t="s">
        <v>46</v>
      </c>
      <c r="AW348" s="45"/>
      <c r="AX348" s="35"/>
    </row>
    <row r="349">
      <c r="A349" s="24"/>
      <c r="B349" s="36" t="s">
        <v>34</v>
      </c>
      <c r="C349" s="37">
        <v>45749.0</v>
      </c>
      <c r="F349" s="38">
        <v>0.5</v>
      </c>
      <c r="I349" s="39" t="s">
        <v>889</v>
      </c>
      <c r="S349" s="39" t="s">
        <v>78</v>
      </c>
      <c r="AE349" s="40">
        <v>0.11458333333333333</v>
      </c>
      <c r="AG349" s="39" t="s">
        <v>890</v>
      </c>
      <c r="AJ349" s="41" t="s">
        <v>891</v>
      </c>
      <c r="AL349" s="42" t="s">
        <v>53</v>
      </c>
      <c r="AP349" s="43" t="str">
        <f t="shared" si="4"/>
        <v>REALIZADO</v>
      </c>
      <c r="AV349" s="44" t="s">
        <v>46</v>
      </c>
      <c r="AW349" s="45"/>
      <c r="AX349" s="35"/>
    </row>
    <row r="350">
      <c r="A350" s="24"/>
      <c r="B350" s="36" t="s">
        <v>41</v>
      </c>
      <c r="C350" s="37">
        <v>45750.0</v>
      </c>
      <c r="F350" s="38">
        <v>0.7916666666666666</v>
      </c>
      <c r="I350" s="39" t="s">
        <v>779</v>
      </c>
      <c r="S350" s="39" t="s">
        <v>892</v>
      </c>
      <c r="AE350" s="40">
        <v>0.0625</v>
      </c>
      <c r="AG350" s="39" t="s">
        <v>696</v>
      </c>
      <c r="AJ350" s="41" t="s">
        <v>893</v>
      </c>
      <c r="AL350" s="42" t="s">
        <v>53</v>
      </c>
      <c r="AP350" s="43" t="str">
        <f t="shared" si="4"/>
        <v>REALIZADO</v>
      </c>
      <c r="AV350" s="44" t="s">
        <v>46</v>
      </c>
      <c r="AW350" s="45"/>
      <c r="AX350" s="35"/>
    </row>
    <row r="351">
      <c r="A351" s="24"/>
      <c r="B351" s="36" t="s">
        <v>41</v>
      </c>
      <c r="C351" s="37">
        <v>45750.0</v>
      </c>
      <c r="F351" s="38">
        <v>0.8541666666666666</v>
      </c>
      <c r="I351" s="39" t="s">
        <v>894</v>
      </c>
      <c r="S351" s="39" t="s">
        <v>895</v>
      </c>
      <c r="AE351" s="40">
        <v>0.0625</v>
      </c>
      <c r="AG351" s="39" t="s">
        <v>712</v>
      </c>
      <c r="AJ351" s="41" t="s">
        <v>44</v>
      </c>
      <c r="AL351" s="42" t="s">
        <v>45</v>
      </c>
      <c r="AP351" s="43" t="str">
        <f t="shared" si="4"/>
        <v>ABORTIVA</v>
      </c>
      <c r="AV351" s="44" t="s">
        <v>69</v>
      </c>
      <c r="AW351" s="45"/>
      <c r="AX351" s="35"/>
    </row>
    <row r="352">
      <c r="A352" s="24"/>
      <c r="B352" s="36" t="s">
        <v>41</v>
      </c>
      <c r="C352" s="37">
        <v>45750.0</v>
      </c>
      <c r="F352" s="38">
        <v>0.8958333333333334</v>
      </c>
      <c r="I352" s="39" t="s">
        <v>896</v>
      </c>
      <c r="S352" s="39" t="s">
        <v>895</v>
      </c>
      <c r="AE352" s="40">
        <v>0.041666666666666664</v>
      </c>
      <c r="AG352" s="39" t="s">
        <v>880</v>
      </c>
      <c r="AJ352" s="41" t="s">
        <v>897</v>
      </c>
      <c r="AL352" s="42" t="s">
        <v>53</v>
      </c>
      <c r="AP352" s="43" t="str">
        <f t="shared" si="4"/>
        <v>REALIZADO</v>
      </c>
      <c r="AV352" s="44" t="s">
        <v>46</v>
      </c>
      <c r="AW352" s="45"/>
      <c r="AX352" s="35"/>
    </row>
    <row r="353">
      <c r="A353" s="24"/>
      <c r="B353" s="36" t="s">
        <v>41</v>
      </c>
      <c r="C353" s="37">
        <v>45750.0</v>
      </c>
      <c r="F353" s="38">
        <v>0.9583333333333334</v>
      </c>
      <c r="I353" s="39" t="s">
        <v>898</v>
      </c>
      <c r="S353" s="39" t="s">
        <v>895</v>
      </c>
      <c r="AE353" s="40">
        <v>0.041666666666666664</v>
      </c>
      <c r="AG353" s="39" t="s">
        <v>715</v>
      </c>
      <c r="AJ353" s="41" t="s">
        <v>899</v>
      </c>
      <c r="AL353" s="42" t="s">
        <v>45</v>
      </c>
      <c r="AP353" s="43" t="str">
        <f t="shared" si="4"/>
        <v>REALIZADO</v>
      </c>
      <c r="AV353" s="44" t="s">
        <v>46</v>
      </c>
      <c r="AW353" s="45"/>
      <c r="AX353" s="35"/>
    </row>
    <row r="354">
      <c r="A354" s="24"/>
      <c r="B354" s="36" t="s">
        <v>41</v>
      </c>
      <c r="C354" s="37">
        <v>45751.0</v>
      </c>
      <c r="F354" s="38">
        <v>0.5416666666666666</v>
      </c>
      <c r="I354" s="39" t="s">
        <v>900</v>
      </c>
      <c r="S354" s="39" t="s">
        <v>895</v>
      </c>
      <c r="AE354" s="40">
        <v>0.020833333333333332</v>
      </c>
      <c r="AG354" s="39" t="s">
        <v>696</v>
      </c>
      <c r="AJ354" s="41" t="s">
        <v>901</v>
      </c>
      <c r="AL354" s="42" t="s">
        <v>53</v>
      </c>
      <c r="AP354" s="43" t="str">
        <f t="shared" si="4"/>
        <v>REALIZADO</v>
      </c>
      <c r="AV354" s="44" t="s">
        <v>46</v>
      </c>
      <c r="AW354" s="45"/>
      <c r="AX354" s="35"/>
    </row>
    <row r="355">
      <c r="A355" s="24"/>
      <c r="B355" s="36" t="s">
        <v>34</v>
      </c>
      <c r="C355" s="37">
        <v>45752.0</v>
      </c>
      <c r="F355" s="38">
        <v>0.5</v>
      </c>
      <c r="I355" s="39" t="s">
        <v>902</v>
      </c>
      <c r="S355" s="39" t="s">
        <v>903</v>
      </c>
      <c r="AE355" s="40">
        <v>0.19791666666666666</v>
      </c>
      <c r="AG355" s="39" t="s">
        <v>904</v>
      </c>
      <c r="AJ355" s="41" t="s">
        <v>905</v>
      </c>
      <c r="AL355" s="42" t="s">
        <v>68</v>
      </c>
      <c r="AP355" s="43" t="str">
        <f t="shared" si="4"/>
        <v>REALIZADO</v>
      </c>
      <c r="AV355" s="44" t="s">
        <v>46</v>
      </c>
      <c r="AW355" s="45"/>
      <c r="AX355" s="35"/>
    </row>
    <row r="356">
      <c r="A356" s="24"/>
      <c r="B356" s="36" t="s">
        <v>34</v>
      </c>
      <c r="C356" s="37">
        <v>45753.0</v>
      </c>
      <c r="F356" s="38">
        <v>0.5</v>
      </c>
      <c r="I356" s="39" t="s">
        <v>906</v>
      </c>
      <c r="S356" s="39" t="s">
        <v>907</v>
      </c>
      <c r="AE356" s="40">
        <v>0.6423611111111112</v>
      </c>
      <c r="AG356" s="39" t="s">
        <v>908</v>
      </c>
      <c r="AJ356" s="41" t="s">
        <v>909</v>
      </c>
      <c r="AL356" s="42" t="s">
        <v>53</v>
      </c>
      <c r="AP356" s="43" t="str">
        <f t="shared" si="4"/>
        <v>REALIZADO</v>
      </c>
      <c r="AV356" s="44" t="s">
        <v>46</v>
      </c>
      <c r="AW356" s="45"/>
      <c r="AX356" s="35"/>
    </row>
    <row r="357">
      <c r="A357" s="24"/>
      <c r="B357" s="36" t="s">
        <v>41</v>
      </c>
      <c r="C357" s="37">
        <v>45754.0</v>
      </c>
      <c r="F357" s="38">
        <v>0.75</v>
      </c>
      <c r="I357" s="39" t="s">
        <v>910</v>
      </c>
      <c r="S357" s="39" t="s">
        <v>749</v>
      </c>
      <c r="AE357" s="40">
        <v>0.0625</v>
      </c>
      <c r="AG357" s="39" t="s">
        <v>652</v>
      </c>
      <c r="AJ357" s="41" t="s">
        <v>911</v>
      </c>
      <c r="AL357" s="42" t="s">
        <v>45</v>
      </c>
      <c r="AP357" s="43" t="str">
        <f t="shared" si="4"/>
        <v>REALIZADO</v>
      </c>
      <c r="AV357" s="44" t="s">
        <v>46</v>
      </c>
      <c r="AW357" s="45"/>
      <c r="AX357" s="35"/>
    </row>
    <row r="358">
      <c r="A358" s="24"/>
      <c r="B358" s="36" t="s">
        <v>41</v>
      </c>
      <c r="C358" s="37">
        <v>45754.0</v>
      </c>
      <c r="F358" s="38">
        <v>0.8645833333333334</v>
      </c>
      <c r="I358" s="39" t="s">
        <v>912</v>
      </c>
      <c r="S358" s="39" t="s">
        <v>895</v>
      </c>
      <c r="AE358" s="40">
        <v>0.0625</v>
      </c>
      <c r="AG358" s="39" t="s">
        <v>712</v>
      </c>
      <c r="AJ358" s="41" t="s">
        <v>44</v>
      </c>
      <c r="AL358" s="42" t="s">
        <v>56</v>
      </c>
      <c r="AP358" s="43" t="str">
        <f t="shared" si="4"/>
        <v>ABORTIVA</v>
      </c>
      <c r="AV358" s="44" t="s">
        <v>69</v>
      </c>
      <c r="AW358" s="45"/>
      <c r="AX358" s="35"/>
    </row>
    <row r="359">
      <c r="A359" s="24"/>
      <c r="B359" s="36" t="s">
        <v>34</v>
      </c>
      <c r="C359" s="37">
        <v>45755.0</v>
      </c>
      <c r="F359" s="38">
        <v>0.5416666666666666</v>
      </c>
      <c r="I359" s="39" t="s">
        <v>913</v>
      </c>
      <c r="S359" s="39" t="s">
        <v>914</v>
      </c>
      <c r="AE359" s="40">
        <v>0.2222222222222222</v>
      </c>
      <c r="AG359" s="39" t="s">
        <v>915</v>
      </c>
      <c r="AJ359" s="59" t="s">
        <v>916</v>
      </c>
      <c r="AL359" s="42" t="s">
        <v>45</v>
      </c>
      <c r="AP359" s="43" t="str">
        <f t="shared" si="4"/>
        <v>REALIZADO</v>
      </c>
      <c r="AV359" s="44" t="s">
        <v>46</v>
      </c>
      <c r="AW359" s="45"/>
      <c r="AX359" s="35"/>
    </row>
    <row r="360">
      <c r="A360" s="24"/>
      <c r="B360" s="36" t="s">
        <v>41</v>
      </c>
      <c r="C360" s="37">
        <v>45757.0</v>
      </c>
      <c r="F360" s="38">
        <v>0.8645833333333334</v>
      </c>
      <c r="I360" s="39" t="s">
        <v>917</v>
      </c>
      <c r="S360" s="39" t="s">
        <v>895</v>
      </c>
      <c r="AE360" s="40">
        <v>0.0625</v>
      </c>
      <c r="AG360" s="39" t="s">
        <v>712</v>
      </c>
      <c r="AJ360" s="41" t="s">
        <v>44</v>
      </c>
      <c r="AL360" s="42" t="s">
        <v>45</v>
      </c>
      <c r="AP360" s="43" t="str">
        <f t="shared" si="4"/>
        <v>ABORTIVA</v>
      </c>
      <c r="AV360" s="44" t="s">
        <v>69</v>
      </c>
      <c r="AW360" s="45"/>
      <c r="AX360" s="35"/>
    </row>
    <row r="361">
      <c r="A361" s="24"/>
      <c r="B361" s="36" t="s">
        <v>41</v>
      </c>
      <c r="C361" s="37">
        <v>45758.0</v>
      </c>
      <c r="F361" s="38">
        <v>0.5625</v>
      </c>
      <c r="I361" s="39" t="s">
        <v>646</v>
      </c>
      <c r="S361" s="39" t="s">
        <v>66</v>
      </c>
      <c r="AE361" s="40">
        <v>0.041666666666666664</v>
      </c>
      <c r="AG361" s="39" t="s">
        <v>918</v>
      </c>
      <c r="AJ361" s="41" t="s">
        <v>44</v>
      </c>
      <c r="AL361" s="42" t="s">
        <v>68</v>
      </c>
      <c r="AP361" s="43" t="str">
        <f t="shared" si="4"/>
        <v>ABORTIVA</v>
      </c>
      <c r="AV361" s="44" t="s">
        <v>69</v>
      </c>
      <c r="AW361" s="45"/>
      <c r="AX361" s="35"/>
    </row>
    <row r="362">
      <c r="A362" s="24"/>
      <c r="B362" s="36" t="s">
        <v>34</v>
      </c>
      <c r="C362" s="37">
        <v>45758.0</v>
      </c>
      <c r="F362" s="38">
        <v>0.5972222222222222</v>
      </c>
      <c r="I362" s="39" t="s">
        <v>919</v>
      </c>
      <c r="S362" s="39" t="s">
        <v>298</v>
      </c>
      <c r="AE362" s="40">
        <v>0.20833333333333334</v>
      </c>
      <c r="AG362" s="39" t="s">
        <v>920</v>
      </c>
      <c r="AJ362" s="41" t="s">
        <v>44</v>
      </c>
      <c r="AL362" s="42" t="s">
        <v>45</v>
      </c>
      <c r="AP362" s="43" t="str">
        <f t="shared" si="4"/>
        <v>ABORTIVA</v>
      </c>
      <c r="AV362" s="44" t="s">
        <v>69</v>
      </c>
      <c r="AW362" s="45"/>
      <c r="AX362" s="35"/>
    </row>
    <row r="363">
      <c r="A363" s="24"/>
      <c r="B363" s="36" t="s">
        <v>34</v>
      </c>
      <c r="C363" s="37">
        <v>45758.0</v>
      </c>
      <c r="F363" s="38">
        <v>0.7083333333333334</v>
      </c>
      <c r="I363" s="39" t="s">
        <v>921</v>
      </c>
      <c r="S363" s="39" t="s">
        <v>922</v>
      </c>
      <c r="AE363" s="40">
        <v>0.5659722222222222</v>
      </c>
      <c r="AG363" s="39" t="s">
        <v>923</v>
      </c>
      <c r="AJ363" s="41" t="s">
        <v>924</v>
      </c>
      <c r="AL363" s="42" t="s">
        <v>53</v>
      </c>
      <c r="AP363" s="43" t="str">
        <f t="shared" si="4"/>
        <v>REALIZADO</v>
      </c>
      <c r="AV363" s="44" t="s">
        <v>46</v>
      </c>
      <c r="AW363" s="45"/>
      <c r="AX363" s="35"/>
    </row>
    <row r="364">
      <c r="A364" s="24"/>
      <c r="B364" s="36" t="s">
        <v>34</v>
      </c>
      <c r="C364" s="37">
        <v>45758.0</v>
      </c>
      <c r="F364" s="38">
        <v>0.8125</v>
      </c>
      <c r="I364" s="39" t="s">
        <v>925</v>
      </c>
      <c r="S364" s="39" t="s">
        <v>298</v>
      </c>
      <c r="AE364" s="40">
        <v>0.16319444444444445</v>
      </c>
      <c r="AG364" s="39" t="s">
        <v>926</v>
      </c>
      <c r="AJ364" s="41" t="s">
        <v>927</v>
      </c>
      <c r="AL364" s="42" t="s">
        <v>82</v>
      </c>
      <c r="AP364" s="43" t="str">
        <f t="shared" si="4"/>
        <v>REALIZADO</v>
      </c>
      <c r="AV364" s="44" t="s">
        <v>46</v>
      </c>
      <c r="AW364" s="45"/>
      <c r="AX364" s="35"/>
    </row>
    <row r="365">
      <c r="A365" s="24"/>
      <c r="B365" s="36" t="s">
        <v>41</v>
      </c>
      <c r="C365" s="37">
        <v>45761.0</v>
      </c>
      <c r="F365" s="38">
        <v>0.7083333333333334</v>
      </c>
      <c r="I365" s="39" t="s">
        <v>928</v>
      </c>
      <c r="S365" s="39" t="s">
        <v>182</v>
      </c>
      <c r="AE365" s="40">
        <v>0.0625</v>
      </c>
      <c r="AG365" s="39" t="s">
        <v>652</v>
      </c>
      <c r="AJ365" s="41" t="s">
        <v>929</v>
      </c>
      <c r="AL365" s="42" t="s">
        <v>45</v>
      </c>
      <c r="AP365" s="43" t="str">
        <f t="shared" si="4"/>
        <v>REALIZADO</v>
      </c>
      <c r="AV365" s="44" t="s">
        <v>46</v>
      </c>
      <c r="AW365" s="45"/>
      <c r="AX365" s="35"/>
    </row>
    <row r="366">
      <c r="A366" s="24"/>
      <c r="B366" s="36" t="s">
        <v>41</v>
      </c>
      <c r="C366" s="37">
        <v>45761.0</v>
      </c>
      <c r="F366" s="38">
        <v>0.7291666666666666</v>
      </c>
      <c r="I366" s="39" t="s">
        <v>646</v>
      </c>
      <c r="S366" s="39" t="s">
        <v>182</v>
      </c>
      <c r="AE366" s="40">
        <v>0.041666666666666664</v>
      </c>
      <c r="AG366" s="39" t="s">
        <v>918</v>
      </c>
      <c r="AJ366" s="41" t="s">
        <v>930</v>
      </c>
      <c r="AL366" s="42" t="s">
        <v>68</v>
      </c>
      <c r="AP366" s="43" t="str">
        <f t="shared" si="4"/>
        <v>REALIZADO</v>
      </c>
      <c r="AV366" s="44" t="s">
        <v>46</v>
      </c>
      <c r="AW366" s="45"/>
      <c r="AX366" s="35"/>
    </row>
    <row r="367">
      <c r="A367" s="24"/>
      <c r="B367" s="36" t="s">
        <v>41</v>
      </c>
      <c r="C367" s="37">
        <v>45761.0</v>
      </c>
      <c r="F367" s="38">
        <v>0.8645833333333334</v>
      </c>
      <c r="I367" s="39" t="s">
        <v>931</v>
      </c>
      <c r="S367" s="39" t="s">
        <v>895</v>
      </c>
      <c r="AE367" s="40">
        <v>0.041666666666666664</v>
      </c>
      <c r="AG367" s="39" t="s">
        <v>712</v>
      </c>
      <c r="AJ367" s="41" t="s">
        <v>932</v>
      </c>
      <c r="AL367" s="42" t="s">
        <v>45</v>
      </c>
      <c r="AP367" s="43" t="str">
        <f t="shared" si="4"/>
        <v>REALIZADO</v>
      </c>
      <c r="AV367" s="44" t="s">
        <v>46</v>
      </c>
      <c r="AW367" s="45"/>
      <c r="AX367" s="35"/>
    </row>
    <row r="368">
      <c r="A368" s="24"/>
      <c r="B368" s="36" t="s">
        <v>34</v>
      </c>
      <c r="C368" s="37">
        <v>45762.0</v>
      </c>
      <c r="F368" s="38">
        <v>0.5</v>
      </c>
      <c r="I368" s="39" t="s">
        <v>933</v>
      </c>
      <c r="S368" s="39" t="s">
        <v>934</v>
      </c>
      <c r="AE368" s="40">
        <v>0.3993055555555556</v>
      </c>
      <c r="AG368" s="39" t="s">
        <v>935</v>
      </c>
      <c r="AJ368" s="41" t="s">
        <v>936</v>
      </c>
      <c r="AL368" s="42" t="s">
        <v>68</v>
      </c>
      <c r="AP368" s="43" t="str">
        <f t="shared" si="4"/>
        <v>REALIZADO</v>
      </c>
      <c r="AV368" s="44" t="s">
        <v>46</v>
      </c>
      <c r="AW368" s="45"/>
      <c r="AX368" s="35"/>
    </row>
    <row r="369">
      <c r="A369" s="24"/>
      <c r="B369" s="36" t="s">
        <v>41</v>
      </c>
      <c r="C369" s="37">
        <v>45762.0</v>
      </c>
      <c r="F369" s="38">
        <v>0.4583333333333333</v>
      </c>
      <c r="I369" s="39" t="s">
        <v>937</v>
      </c>
      <c r="S369" s="39" t="s">
        <v>774</v>
      </c>
      <c r="AE369" s="40">
        <v>0.0625</v>
      </c>
      <c r="AG369" s="39" t="s">
        <v>682</v>
      </c>
      <c r="AJ369" s="41" t="s">
        <v>938</v>
      </c>
      <c r="AL369" s="42" t="s">
        <v>45</v>
      </c>
      <c r="AP369" s="43" t="str">
        <f t="shared" si="4"/>
        <v>REALIZADO</v>
      </c>
      <c r="AV369" s="44" t="s">
        <v>46</v>
      </c>
      <c r="AW369" s="45"/>
      <c r="AX369" s="35"/>
    </row>
    <row r="370">
      <c r="A370" s="24"/>
      <c r="B370" s="36" t="s">
        <v>41</v>
      </c>
      <c r="C370" s="37">
        <v>45762.0</v>
      </c>
      <c r="F370" s="38">
        <v>0.5416666666666666</v>
      </c>
      <c r="I370" s="39" t="s">
        <v>939</v>
      </c>
      <c r="S370" s="39" t="s">
        <v>774</v>
      </c>
      <c r="AE370" s="40">
        <v>0.0625</v>
      </c>
      <c r="AG370" s="39" t="s">
        <v>682</v>
      </c>
      <c r="AJ370" s="41" t="s">
        <v>50</v>
      </c>
      <c r="AL370" s="42" t="s">
        <v>45</v>
      </c>
      <c r="AP370" s="43" t="str">
        <f t="shared" si="4"/>
        <v>REALIZADO</v>
      </c>
      <c r="AV370" s="44" t="s">
        <v>46</v>
      </c>
      <c r="AW370" s="45"/>
      <c r="AX370" s="35"/>
    </row>
    <row r="371">
      <c r="A371" s="24"/>
      <c r="B371" s="36" t="s">
        <v>41</v>
      </c>
      <c r="C371" s="37">
        <v>45762.0</v>
      </c>
      <c r="F371" s="38">
        <v>0.8645833333333334</v>
      </c>
      <c r="I371" s="39" t="s">
        <v>940</v>
      </c>
      <c r="S371" s="39" t="s">
        <v>895</v>
      </c>
      <c r="AE371" s="40">
        <v>0.041666666666666664</v>
      </c>
      <c r="AG371" s="39" t="s">
        <v>715</v>
      </c>
      <c r="AJ371" s="41" t="s">
        <v>61</v>
      </c>
      <c r="AL371" s="42" t="s">
        <v>45</v>
      </c>
      <c r="AP371" s="43" t="str">
        <f t="shared" si="4"/>
        <v>REALIZADO</v>
      </c>
      <c r="AV371" s="44" t="s">
        <v>46</v>
      </c>
      <c r="AW371" s="45"/>
      <c r="AX371" s="35"/>
    </row>
    <row r="372">
      <c r="A372" s="24"/>
      <c r="B372" s="36" t="s">
        <v>41</v>
      </c>
      <c r="C372" s="37">
        <v>45764.0</v>
      </c>
      <c r="F372" s="38">
        <v>0.8645833333333334</v>
      </c>
      <c r="I372" s="39" t="s">
        <v>941</v>
      </c>
      <c r="S372" s="39" t="s">
        <v>895</v>
      </c>
      <c r="AE372" s="40">
        <v>0.041666666666666664</v>
      </c>
      <c r="AG372" s="39" t="s">
        <v>712</v>
      </c>
      <c r="AJ372" s="41" t="s">
        <v>64</v>
      </c>
      <c r="AL372" s="42" t="s">
        <v>53</v>
      </c>
      <c r="AP372" s="43" t="str">
        <f t="shared" si="4"/>
        <v>REALIZADO</v>
      </c>
      <c r="AV372" s="44" t="s">
        <v>46</v>
      </c>
      <c r="AW372" s="45"/>
      <c r="AX372" s="35"/>
    </row>
    <row r="373">
      <c r="A373" s="24"/>
      <c r="B373" s="36" t="s">
        <v>34</v>
      </c>
      <c r="C373" s="37">
        <v>45765.0</v>
      </c>
      <c r="F373" s="38">
        <v>0.5</v>
      </c>
      <c r="I373" s="39" t="s">
        <v>942</v>
      </c>
      <c r="S373" s="39" t="s">
        <v>943</v>
      </c>
      <c r="AE373" s="40">
        <v>0.3125</v>
      </c>
      <c r="AG373" s="39" t="s">
        <v>944</v>
      </c>
      <c r="AJ373" s="41" t="s">
        <v>74</v>
      </c>
      <c r="AL373" s="42" t="s">
        <v>68</v>
      </c>
      <c r="AP373" s="43" t="str">
        <f t="shared" si="4"/>
        <v>REALIZADO</v>
      </c>
      <c r="AV373" s="44" t="s">
        <v>46</v>
      </c>
      <c r="AW373" s="45"/>
      <c r="AX373" s="35"/>
    </row>
    <row r="374">
      <c r="A374" s="24"/>
      <c r="B374" s="36" t="s">
        <v>34</v>
      </c>
      <c r="C374" s="37">
        <v>45768.0</v>
      </c>
      <c r="F374" s="38">
        <v>0.4166666666666667</v>
      </c>
      <c r="I374" s="39" t="s">
        <v>945</v>
      </c>
      <c r="S374" s="39" t="s">
        <v>946</v>
      </c>
      <c r="AE374" s="40">
        <v>0.4965277777777778</v>
      </c>
      <c r="AG374" s="39" t="s">
        <v>947</v>
      </c>
      <c r="AJ374" s="41" t="s">
        <v>81</v>
      </c>
      <c r="AL374" s="42" t="s">
        <v>512</v>
      </c>
      <c r="AP374" s="43" t="str">
        <f t="shared" si="4"/>
        <v>REALIZADO</v>
      </c>
      <c r="AV374" s="44" t="s">
        <v>46</v>
      </c>
      <c r="AW374" s="45"/>
      <c r="AX374" s="35"/>
    </row>
    <row r="375">
      <c r="A375" s="24"/>
      <c r="B375" s="36" t="s">
        <v>34</v>
      </c>
      <c r="C375" s="37">
        <v>45769.0</v>
      </c>
      <c r="F375" s="38">
        <v>0.4583333333333333</v>
      </c>
      <c r="I375" s="39" t="s">
        <v>948</v>
      </c>
      <c r="S375" s="39" t="s">
        <v>949</v>
      </c>
      <c r="AE375" s="40">
        <v>0.5277777777777778</v>
      </c>
      <c r="AG375" s="39" t="s">
        <v>796</v>
      </c>
      <c r="AJ375" s="41" t="s">
        <v>87</v>
      </c>
      <c r="AL375" s="42" t="s">
        <v>68</v>
      </c>
      <c r="AP375" s="43" t="str">
        <f t="shared" si="4"/>
        <v>REALIZADO</v>
      </c>
      <c r="AV375" s="44" t="s">
        <v>46</v>
      </c>
      <c r="AW375" s="45"/>
      <c r="AX375" s="35"/>
    </row>
    <row r="376">
      <c r="A376" s="24"/>
      <c r="B376" s="36" t="s">
        <v>41</v>
      </c>
      <c r="C376" s="37">
        <v>45769.0</v>
      </c>
      <c r="F376" s="38">
        <v>0.75</v>
      </c>
      <c r="I376" s="39" t="s">
        <v>950</v>
      </c>
      <c r="S376" s="39" t="s">
        <v>185</v>
      </c>
      <c r="AE376" s="40">
        <v>0.003472222222222222</v>
      </c>
      <c r="AG376" s="39" t="s">
        <v>44</v>
      </c>
      <c r="AJ376" s="41" t="s">
        <v>90</v>
      </c>
      <c r="AL376" s="42" t="s">
        <v>512</v>
      </c>
      <c r="AP376" s="43" t="str">
        <f t="shared" si="4"/>
        <v>REALIZADO</v>
      </c>
      <c r="AV376" s="44" t="s">
        <v>46</v>
      </c>
      <c r="AW376" s="45"/>
      <c r="AX376" s="35"/>
    </row>
    <row r="377">
      <c r="A377" s="24"/>
      <c r="B377" s="36" t="s">
        <v>41</v>
      </c>
      <c r="C377" s="37">
        <v>45772.0</v>
      </c>
      <c r="F377" s="38">
        <v>0.6458333333333334</v>
      </c>
      <c r="I377" s="39" t="s">
        <v>951</v>
      </c>
      <c r="S377" s="39" t="s">
        <v>66</v>
      </c>
      <c r="AE377" s="40">
        <v>0.041666666666666664</v>
      </c>
      <c r="AG377" s="39" t="s">
        <v>67</v>
      </c>
      <c r="AJ377" s="41" t="s">
        <v>104</v>
      </c>
      <c r="AL377" s="42" t="s">
        <v>56</v>
      </c>
      <c r="AP377" s="43" t="str">
        <f t="shared" si="4"/>
        <v>ABORTIVA</v>
      </c>
      <c r="AV377" s="44" t="s">
        <v>98</v>
      </c>
      <c r="AW377" s="45"/>
      <c r="AX377" s="35"/>
    </row>
    <row r="378">
      <c r="A378" s="24"/>
      <c r="B378" s="36" t="s">
        <v>34</v>
      </c>
      <c r="C378" s="37">
        <v>45772.0</v>
      </c>
      <c r="F378" s="38">
        <v>0.7083333333333334</v>
      </c>
      <c r="I378" s="39" t="s">
        <v>952</v>
      </c>
      <c r="S378" s="39" t="s">
        <v>432</v>
      </c>
      <c r="AE378" s="40">
        <v>0.2743055555555556</v>
      </c>
      <c r="AG378" s="39" t="s">
        <v>953</v>
      </c>
      <c r="AJ378" s="41" t="s">
        <v>116</v>
      </c>
      <c r="AL378" s="42" t="s">
        <v>56</v>
      </c>
      <c r="AP378" s="43" t="str">
        <f t="shared" si="4"/>
        <v>REALIZADO</v>
      </c>
      <c r="AV378" s="44" t="s">
        <v>46</v>
      </c>
      <c r="AW378" s="45"/>
      <c r="AX378" s="35"/>
    </row>
    <row r="379">
      <c r="A379" s="24"/>
      <c r="B379" s="36" t="s">
        <v>34</v>
      </c>
      <c r="C379" s="37">
        <v>45773.0</v>
      </c>
      <c r="F379" s="38">
        <v>0.5</v>
      </c>
      <c r="I379" s="39" t="s">
        <v>954</v>
      </c>
      <c r="S379" s="39" t="s">
        <v>955</v>
      </c>
      <c r="AE379" s="40">
        <v>0.4791666666666667</v>
      </c>
      <c r="AG379" s="39" t="s">
        <v>956</v>
      </c>
      <c r="AJ379" s="41" t="s">
        <v>109</v>
      </c>
      <c r="AL379" s="42" t="s">
        <v>56</v>
      </c>
      <c r="AP379" s="43" t="str">
        <f t="shared" si="4"/>
        <v>REALIZADO</v>
      </c>
      <c r="AV379" s="44" t="s">
        <v>46</v>
      </c>
      <c r="AW379" s="45"/>
      <c r="AX379" s="35"/>
    </row>
    <row r="380">
      <c r="A380" s="24"/>
      <c r="B380" s="36" t="s">
        <v>41</v>
      </c>
      <c r="C380" s="37">
        <v>45775.0</v>
      </c>
      <c r="F380" s="38">
        <v>0.8645833333333334</v>
      </c>
      <c r="I380" s="39" t="s">
        <v>957</v>
      </c>
      <c r="S380" s="39" t="s">
        <v>895</v>
      </c>
      <c r="AE380" s="40">
        <v>0.041666666666666664</v>
      </c>
      <c r="AG380" s="39" t="s">
        <v>715</v>
      </c>
      <c r="AJ380" s="41" t="s">
        <v>44</v>
      </c>
      <c r="AL380" s="42" t="s">
        <v>56</v>
      </c>
      <c r="AP380" s="43" t="str">
        <f t="shared" si="4"/>
        <v>ABORTIVA</v>
      </c>
      <c r="AV380" s="44" t="s">
        <v>69</v>
      </c>
      <c r="AW380" s="45"/>
      <c r="AX380" s="35"/>
    </row>
    <row r="381">
      <c r="A381" s="24"/>
      <c r="B381" s="36" t="s">
        <v>41</v>
      </c>
      <c r="C381" s="37">
        <v>45776.0</v>
      </c>
      <c r="F381" s="38">
        <v>0.8645833333333334</v>
      </c>
      <c r="I381" s="39" t="s">
        <v>958</v>
      </c>
      <c r="S381" s="39" t="s">
        <v>895</v>
      </c>
      <c r="AE381" s="40">
        <v>0.041666666666666664</v>
      </c>
      <c r="AG381" s="39" t="s">
        <v>712</v>
      </c>
      <c r="AJ381" s="41" t="s">
        <v>134</v>
      </c>
      <c r="AL381" s="42" t="s">
        <v>56</v>
      </c>
      <c r="AP381" s="43" t="str">
        <f t="shared" si="4"/>
        <v>REALIZADO</v>
      </c>
      <c r="AV381" s="44" t="s">
        <v>46</v>
      </c>
      <c r="AW381" s="45"/>
      <c r="AX381" s="35"/>
    </row>
    <row r="382">
      <c r="A382" s="24"/>
      <c r="B382" s="36" t="s">
        <v>34</v>
      </c>
      <c r="C382" s="37">
        <v>45777.0</v>
      </c>
      <c r="F382" s="38">
        <v>0.5</v>
      </c>
      <c r="I382" s="39" t="s">
        <v>959</v>
      </c>
      <c r="S382" s="39" t="s">
        <v>960</v>
      </c>
      <c r="AE382" s="40">
        <v>0.4791666666666667</v>
      </c>
      <c r="AG382" s="39" t="s">
        <v>961</v>
      </c>
      <c r="AJ382" s="41" t="s">
        <v>126</v>
      </c>
      <c r="AL382" s="42" t="s">
        <v>53</v>
      </c>
      <c r="AP382" s="43" t="str">
        <f t="shared" si="4"/>
        <v>REALIZADO</v>
      </c>
      <c r="AV382" s="44" t="s">
        <v>46</v>
      </c>
      <c r="AW382" s="45"/>
      <c r="AX382" s="35"/>
    </row>
    <row r="383">
      <c r="A383" s="24"/>
      <c r="B383" s="36" t="s">
        <v>34</v>
      </c>
      <c r="C383" s="37">
        <v>45781.0</v>
      </c>
      <c r="F383" s="38">
        <v>0.375</v>
      </c>
      <c r="I383" s="39" t="s">
        <v>962</v>
      </c>
      <c r="S383" s="39" t="s">
        <v>175</v>
      </c>
      <c r="AE383" s="40">
        <v>0.2361111111111111</v>
      </c>
      <c r="AG383" s="39" t="s">
        <v>535</v>
      </c>
      <c r="AJ383" s="41" t="s">
        <v>141</v>
      </c>
      <c r="AL383" s="42" t="s">
        <v>53</v>
      </c>
      <c r="AP383" s="43" t="str">
        <f t="shared" si="4"/>
        <v>REALIZADO</v>
      </c>
      <c r="AV383" s="44" t="s">
        <v>46</v>
      </c>
      <c r="AW383" s="45"/>
      <c r="AX383" s="35"/>
    </row>
    <row r="384">
      <c r="A384" s="24"/>
      <c r="B384" s="36" t="s">
        <v>34</v>
      </c>
      <c r="C384" s="37">
        <v>45782.0</v>
      </c>
      <c r="F384" s="38">
        <v>0.5</v>
      </c>
      <c r="I384" s="39" t="s">
        <v>963</v>
      </c>
      <c r="S384" s="39" t="s">
        <v>964</v>
      </c>
      <c r="AE384" s="40">
        <v>0.3020833333333333</v>
      </c>
      <c r="AG384" s="39" t="s">
        <v>965</v>
      </c>
      <c r="AJ384" s="41" t="s">
        <v>145</v>
      </c>
      <c r="AL384" s="42" t="s">
        <v>68</v>
      </c>
      <c r="AP384" s="43" t="str">
        <f t="shared" si="4"/>
        <v>REALIZADO</v>
      </c>
      <c r="AV384" s="44" t="s">
        <v>46</v>
      </c>
      <c r="AW384" s="45"/>
      <c r="AX384" s="35"/>
    </row>
    <row r="385">
      <c r="A385" s="24"/>
      <c r="B385" s="36" t="s">
        <v>41</v>
      </c>
      <c r="C385" s="37">
        <v>45782.0</v>
      </c>
      <c r="F385" s="38">
        <v>0.8541666666666666</v>
      </c>
      <c r="I385" s="39" t="s">
        <v>966</v>
      </c>
      <c r="S385" s="39" t="s">
        <v>210</v>
      </c>
      <c r="AE385" s="40">
        <v>0.041666666666666664</v>
      </c>
      <c r="AG385" s="39" t="s">
        <v>715</v>
      </c>
      <c r="AJ385" s="41" t="s">
        <v>149</v>
      </c>
      <c r="AL385" s="42" t="s">
        <v>56</v>
      </c>
      <c r="AP385" s="43" t="str">
        <f t="shared" si="4"/>
        <v>REALIZADO</v>
      </c>
      <c r="AV385" s="44" t="s">
        <v>46</v>
      </c>
      <c r="AW385" s="45"/>
      <c r="AX385" s="35"/>
    </row>
    <row r="386">
      <c r="A386" s="24"/>
      <c r="B386" s="36" t="s">
        <v>41</v>
      </c>
      <c r="C386" s="37">
        <v>45782.0</v>
      </c>
      <c r="F386" s="38">
        <v>0.9375</v>
      </c>
      <c r="I386" s="39" t="s">
        <v>967</v>
      </c>
      <c r="S386" s="39" t="s">
        <v>210</v>
      </c>
      <c r="AE386" s="40">
        <v>0.041666666666666664</v>
      </c>
      <c r="AG386" s="39" t="s">
        <v>715</v>
      </c>
      <c r="AJ386" s="41" t="s">
        <v>153</v>
      </c>
      <c r="AL386" s="42" t="s">
        <v>56</v>
      </c>
      <c r="AP386" s="43" t="str">
        <f t="shared" si="4"/>
        <v>REALIZADO</v>
      </c>
      <c r="AV386" s="44" t="s">
        <v>46</v>
      </c>
      <c r="AW386" s="45"/>
      <c r="AX386" s="35"/>
    </row>
    <row r="387">
      <c r="A387" s="24"/>
      <c r="B387" s="36" t="s">
        <v>34</v>
      </c>
      <c r="C387" s="37">
        <v>45783.0</v>
      </c>
      <c r="F387" s="38">
        <v>0.5</v>
      </c>
      <c r="I387" s="39" t="s">
        <v>706</v>
      </c>
      <c r="S387" s="39" t="s">
        <v>968</v>
      </c>
      <c r="AE387" s="40">
        <v>0.2638888888888889</v>
      </c>
      <c r="AG387" s="39" t="s">
        <v>969</v>
      </c>
      <c r="AJ387" s="41" t="s">
        <v>160</v>
      </c>
      <c r="AL387" s="42" t="s">
        <v>56</v>
      </c>
      <c r="AP387" s="43" t="str">
        <f t="shared" si="4"/>
        <v>REALIZADO</v>
      </c>
      <c r="AV387" s="44" t="s">
        <v>46</v>
      </c>
      <c r="AW387" s="45"/>
      <c r="AX387" s="35"/>
    </row>
    <row r="388">
      <c r="A388" s="24"/>
      <c r="B388" s="36" t="s">
        <v>34</v>
      </c>
      <c r="C388" s="37">
        <v>45784.0</v>
      </c>
      <c r="F388" s="38">
        <v>0.5</v>
      </c>
      <c r="I388" s="39" t="s">
        <v>970</v>
      </c>
      <c r="S388" s="39" t="s">
        <v>857</v>
      </c>
      <c r="AE388" s="40">
        <v>0.1527777777777778</v>
      </c>
      <c r="AG388" s="39" t="s">
        <v>971</v>
      </c>
      <c r="AJ388" s="41" t="s">
        <v>164</v>
      </c>
      <c r="AL388" s="42" t="s">
        <v>68</v>
      </c>
      <c r="AP388" s="43" t="str">
        <f t="shared" si="4"/>
        <v>REALIZADO</v>
      </c>
      <c r="AV388" s="44" t="s">
        <v>46</v>
      </c>
      <c r="AW388" s="45"/>
      <c r="AX388" s="35"/>
    </row>
    <row r="389">
      <c r="A389" s="24"/>
      <c r="B389" s="36" t="s">
        <v>41</v>
      </c>
      <c r="C389" s="37">
        <v>45784.0</v>
      </c>
      <c r="F389" s="38">
        <v>0.8715277777777778</v>
      </c>
      <c r="I389" s="39" t="s">
        <v>972</v>
      </c>
      <c r="S389" s="39" t="s">
        <v>268</v>
      </c>
      <c r="AE389" s="40">
        <v>0.041666666666666664</v>
      </c>
      <c r="AG389" s="39" t="s">
        <v>788</v>
      </c>
      <c r="AJ389" s="41" t="s">
        <v>173</v>
      </c>
      <c r="AL389" s="42" t="s">
        <v>512</v>
      </c>
      <c r="AP389" s="43" t="str">
        <f t="shared" si="4"/>
        <v>REALIZADO</v>
      </c>
      <c r="AV389" s="44" t="s">
        <v>46</v>
      </c>
      <c r="AW389" s="45"/>
      <c r="AX389" s="35"/>
    </row>
    <row r="390">
      <c r="A390" s="24"/>
      <c r="B390" s="36" t="s">
        <v>34</v>
      </c>
      <c r="C390" s="37">
        <v>45785.0</v>
      </c>
      <c r="F390" s="38">
        <v>0.041666666666666664</v>
      </c>
      <c r="I390" s="39" t="s">
        <v>973</v>
      </c>
      <c r="S390" s="39" t="s">
        <v>357</v>
      </c>
      <c r="AE390" s="40">
        <v>0.2777777777777778</v>
      </c>
      <c r="AG390" s="39" t="s">
        <v>974</v>
      </c>
      <c r="AJ390" s="41" t="s">
        <v>180</v>
      </c>
      <c r="AL390" s="42" t="s">
        <v>512</v>
      </c>
      <c r="AP390" s="43" t="str">
        <f t="shared" si="4"/>
        <v>REALIZADO</v>
      </c>
      <c r="AV390" s="44" t="s">
        <v>46</v>
      </c>
      <c r="AW390" s="45"/>
      <c r="AX390" s="35"/>
    </row>
    <row r="391">
      <c r="A391" s="24"/>
      <c r="B391" s="36" t="s">
        <v>34</v>
      </c>
      <c r="C391" s="37">
        <v>45785.0</v>
      </c>
      <c r="F391" s="38">
        <v>0.6180555555555556</v>
      </c>
      <c r="I391" s="39" t="s">
        <v>975</v>
      </c>
      <c r="S391" s="39" t="s">
        <v>968</v>
      </c>
      <c r="AE391" s="40">
        <v>0.2638888888888889</v>
      </c>
      <c r="AG391" s="39" t="s">
        <v>976</v>
      </c>
      <c r="AJ391" s="41" t="s">
        <v>177</v>
      </c>
      <c r="AL391" s="42" t="s">
        <v>56</v>
      </c>
      <c r="AP391" s="43" t="str">
        <f t="shared" si="4"/>
        <v>REALIZADO</v>
      </c>
      <c r="AV391" s="44" t="s">
        <v>46</v>
      </c>
      <c r="AW391" s="45"/>
      <c r="AX391" s="35"/>
    </row>
    <row r="392">
      <c r="A392" s="24"/>
      <c r="B392" s="36" t="s">
        <v>34</v>
      </c>
      <c r="C392" s="37">
        <v>45786.0</v>
      </c>
      <c r="F392" s="38">
        <v>0.5833333333333334</v>
      </c>
      <c r="I392" s="39" t="s">
        <v>977</v>
      </c>
      <c r="S392" s="39" t="s">
        <v>464</v>
      </c>
      <c r="AE392" s="40">
        <v>0.14930555555555555</v>
      </c>
      <c r="AG392" s="39" t="s">
        <v>978</v>
      </c>
      <c r="AJ392" s="41" t="s">
        <v>979</v>
      </c>
      <c r="AL392" s="42" t="s">
        <v>68</v>
      </c>
      <c r="AP392" s="43" t="str">
        <f t="shared" si="4"/>
        <v>REALIZADO</v>
      </c>
      <c r="AV392" s="44" t="s">
        <v>46</v>
      </c>
      <c r="AW392" s="45"/>
      <c r="AX392" s="35"/>
    </row>
    <row r="393">
      <c r="A393" s="24"/>
      <c r="B393" s="36" t="s">
        <v>34</v>
      </c>
      <c r="C393" s="37">
        <v>45786.0</v>
      </c>
      <c r="F393" s="38">
        <v>0.4583333333333333</v>
      </c>
      <c r="I393" s="39" t="s">
        <v>980</v>
      </c>
      <c r="S393" s="39" t="s">
        <v>981</v>
      </c>
      <c r="AE393" s="40">
        <v>0.7395833333333334</v>
      </c>
      <c r="AG393" s="39" t="s">
        <v>982</v>
      </c>
      <c r="AJ393" s="41" t="s">
        <v>190</v>
      </c>
      <c r="AL393" s="42" t="s">
        <v>56</v>
      </c>
      <c r="AP393" s="43" t="str">
        <f t="shared" si="4"/>
        <v>REALIZADO</v>
      </c>
      <c r="AV393" s="44" t="s">
        <v>46</v>
      </c>
      <c r="AW393" s="45"/>
      <c r="AX393" s="35"/>
    </row>
    <row r="394">
      <c r="A394" s="24"/>
      <c r="B394" s="36" t="s">
        <v>34</v>
      </c>
      <c r="C394" s="37">
        <v>45786.0</v>
      </c>
      <c r="F394" s="38">
        <v>0.0625</v>
      </c>
      <c r="I394" s="39" t="s">
        <v>983</v>
      </c>
      <c r="S394" s="39" t="s">
        <v>357</v>
      </c>
      <c r="AE394" s="40">
        <v>0.2222222222222222</v>
      </c>
      <c r="AG394" s="39" t="s">
        <v>984</v>
      </c>
      <c r="AJ394" s="41" t="s">
        <v>198</v>
      </c>
      <c r="AL394" s="42" t="s">
        <v>68</v>
      </c>
      <c r="AP394" s="43" t="str">
        <f t="shared" si="4"/>
        <v>REALIZADO</v>
      </c>
      <c r="AV394" s="44" t="s">
        <v>46</v>
      </c>
      <c r="AW394" s="45"/>
      <c r="AX394" s="35"/>
    </row>
    <row r="395">
      <c r="A395" s="24"/>
      <c r="B395" s="36" t="s">
        <v>34</v>
      </c>
      <c r="C395" s="37">
        <v>45787.0</v>
      </c>
      <c r="F395" s="38">
        <v>0.5</v>
      </c>
      <c r="I395" s="39" t="s">
        <v>985</v>
      </c>
      <c r="S395" s="39" t="s">
        <v>986</v>
      </c>
      <c r="AE395" s="40">
        <v>0.4826388888888889</v>
      </c>
      <c r="AG395" s="39" t="s">
        <v>987</v>
      </c>
      <c r="AJ395" s="41" t="s">
        <v>203</v>
      </c>
      <c r="AL395" s="42" t="s">
        <v>68</v>
      </c>
      <c r="AP395" s="43" t="str">
        <f t="shared" si="4"/>
        <v>REALIZADO</v>
      </c>
      <c r="AV395" s="44" t="s">
        <v>46</v>
      </c>
      <c r="AW395" s="45"/>
      <c r="AX395" s="35"/>
    </row>
    <row r="396">
      <c r="A396" s="24"/>
      <c r="B396" s="36" t="s">
        <v>34</v>
      </c>
      <c r="C396" s="37">
        <v>45789.0</v>
      </c>
      <c r="F396" s="38">
        <v>0.5</v>
      </c>
      <c r="I396" s="39" t="s">
        <v>970</v>
      </c>
      <c r="S396" s="39" t="s">
        <v>988</v>
      </c>
      <c r="AE396" s="40">
        <v>0.3159722222222222</v>
      </c>
      <c r="AG396" s="39" t="s">
        <v>989</v>
      </c>
      <c r="AJ396" s="41" t="s">
        <v>214</v>
      </c>
      <c r="AL396" s="42" t="s">
        <v>68</v>
      </c>
      <c r="AP396" s="43" t="str">
        <f t="shared" si="4"/>
        <v>REALIZADO</v>
      </c>
      <c r="AV396" s="44" t="s">
        <v>46</v>
      </c>
      <c r="AW396" s="45"/>
      <c r="AX396" s="35"/>
    </row>
    <row r="397">
      <c r="A397" s="24"/>
      <c r="B397" s="36" t="s">
        <v>34</v>
      </c>
      <c r="C397" s="37">
        <v>45790.0</v>
      </c>
      <c r="F397" s="38">
        <v>0.4583333333333333</v>
      </c>
      <c r="I397" s="39" t="s">
        <v>990</v>
      </c>
      <c r="S397" s="39" t="s">
        <v>991</v>
      </c>
      <c r="AE397" s="40">
        <v>0.2013888888888889</v>
      </c>
      <c r="AG397" s="39" t="s">
        <v>992</v>
      </c>
      <c r="AJ397" s="41" t="s">
        <v>222</v>
      </c>
      <c r="AL397" s="42" t="s">
        <v>56</v>
      </c>
      <c r="AP397" s="43" t="str">
        <f t="shared" si="4"/>
        <v>REALIZADO</v>
      </c>
      <c r="AV397" s="44" t="s">
        <v>46</v>
      </c>
      <c r="AW397" s="45"/>
      <c r="AX397" s="35"/>
    </row>
    <row r="398">
      <c r="A398" s="24"/>
      <c r="B398" s="36" t="s">
        <v>34</v>
      </c>
      <c r="C398" s="37">
        <v>45791.0</v>
      </c>
      <c r="F398" s="38">
        <v>0.3333333333333333</v>
      </c>
      <c r="I398" s="39" t="s">
        <v>993</v>
      </c>
      <c r="S398" s="39" t="s">
        <v>994</v>
      </c>
      <c r="AE398" s="40">
        <v>0.3333333333333333</v>
      </c>
      <c r="AG398" s="39" t="s">
        <v>995</v>
      </c>
      <c r="AJ398" s="41" t="s">
        <v>237</v>
      </c>
      <c r="AL398" s="42" t="s">
        <v>68</v>
      </c>
      <c r="AP398" s="43" t="str">
        <f t="shared" si="4"/>
        <v>REALIZADO</v>
      </c>
      <c r="AV398" s="44" t="s">
        <v>46</v>
      </c>
      <c r="AW398" s="45"/>
      <c r="AX398" s="35"/>
    </row>
    <row r="399">
      <c r="A399" s="24"/>
      <c r="B399" s="36" t="s">
        <v>34</v>
      </c>
      <c r="C399" s="37">
        <v>45791.0</v>
      </c>
      <c r="F399" s="38">
        <v>0.5798611111111112</v>
      </c>
      <c r="I399" s="39" t="s">
        <v>993</v>
      </c>
      <c r="S399" s="39" t="s">
        <v>996</v>
      </c>
      <c r="AE399" s="40">
        <v>0.3645833333333333</v>
      </c>
      <c r="AG399" s="39" t="s">
        <v>997</v>
      </c>
      <c r="AJ399" s="41" t="s">
        <v>237</v>
      </c>
      <c r="AL399" s="42" t="s">
        <v>68</v>
      </c>
      <c r="AP399" s="43" t="str">
        <f t="shared" si="4"/>
        <v>REALIZADO</v>
      </c>
      <c r="AV399" s="44" t="s">
        <v>46</v>
      </c>
      <c r="AW399" s="45"/>
      <c r="AX399" s="35"/>
    </row>
    <row r="400">
      <c r="A400" s="24"/>
      <c r="B400" s="36" t="s">
        <v>41</v>
      </c>
      <c r="C400" s="37">
        <v>45793.0</v>
      </c>
      <c r="F400" s="38">
        <v>0.5</v>
      </c>
      <c r="I400" s="39" t="s">
        <v>998</v>
      </c>
      <c r="S400" s="39" t="s">
        <v>414</v>
      </c>
      <c r="AE400" s="40">
        <v>0.0625</v>
      </c>
      <c r="AG400" s="39" t="s">
        <v>44</v>
      </c>
      <c r="AJ400" s="41" t="s">
        <v>44</v>
      </c>
      <c r="AL400" s="42" t="s">
        <v>414</v>
      </c>
      <c r="AP400" s="43" t="str">
        <f t="shared" si="4"/>
        <v>REALIZADO</v>
      </c>
      <c r="AV400" s="44" t="s">
        <v>46</v>
      </c>
      <c r="AW400" s="45"/>
      <c r="AX400" s="35"/>
    </row>
    <row r="401">
      <c r="A401" s="24"/>
      <c r="B401" s="36" t="s">
        <v>34</v>
      </c>
      <c r="C401" s="37">
        <v>45796.0</v>
      </c>
      <c r="F401" s="38">
        <v>0.5</v>
      </c>
      <c r="I401" s="39" t="s">
        <v>999</v>
      </c>
      <c r="S401" s="39" t="s">
        <v>78</v>
      </c>
      <c r="AE401" s="40">
        <v>0.14930555555555555</v>
      </c>
      <c r="AG401" s="39" t="s">
        <v>1000</v>
      </c>
      <c r="AJ401" s="41" t="s">
        <v>243</v>
      </c>
      <c r="AL401" s="42" t="s">
        <v>68</v>
      </c>
      <c r="AP401" s="43" t="str">
        <f t="shared" si="4"/>
        <v>REALIZADO</v>
      </c>
      <c r="AV401" s="44" t="s">
        <v>46</v>
      </c>
      <c r="AW401" s="45"/>
      <c r="AX401" s="35"/>
    </row>
    <row r="402">
      <c r="A402" s="24"/>
      <c r="B402" s="36" t="s">
        <v>34</v>
      </c>
      <c r="C402" s="37">
        <v>45797.0</v>
      </c>
      <c r="F402" s="38">
        <v>0.5</v>
      </c>
      <c r="I402" s="39" t="s">
        <v>1001</v>
      </c>
      <c r="S402" s="39" t="s">
        <v>1002</v>
      </c>
      <c r="AE402" s="40">
        <v>0.4652777777777778</v>
      </c>
      <c r="AG402" s="39" t="s">
        <v>1003</v>
      </c>
      <c r="AJ402" s="41" t="s">
        <v>247</v>
      </c>
      <c r="AL402" s="42" t="s">
        <v>68</v>
      </c>
      <c r="AP402" s="43" t="str">
        <f t="shared" si="4"/>
        <v>REALIZADO</v>
      </c>
      <c r="AV402" s="44" t="s">
        <v>46</v>
      </c>
      <c r="AW402" s="45"/>
      <c r="AX402" s="35"/>
    </row>
    <row r="403">
      <c r="A403" s="24"/>
      <c r="B403" s="36" t="s">
        <v>41</v>
      </c>
      <c r="C403" s="37">
        <v>45797.0</v>
      </c>
      <c r="F403" s="38">
        <v>0.5</v>
      </c>
      <c r="I403" s="39" t="s">
        <v>1004</v>
      </c>
      <c r="S403" s="39" t="s">
        <v>574</v>
      </c>
      <c r="AE403" s="40">
        <v>0.041666666666666664</v>
      </c>
      <c r="AG403" s="39" t="s">
        <v>67</v>
      </c>
      <c r="AJ403" s="41" t="s">
        <v>256</v>
      </c>
      <c r="AL403" s="42" t="s">
        <v>53</v>
      </c>
      <c r="AP403" s="43" t="str">
        <f t="shared" si="4"/>
        <v>REALIZADO</v>
      </c>
      <c r="AV403" s="44" t="s">
        <v>46</v>
      </c>
      <c r="AW403" s="45"/>
      <c r="AX403" s="35"/>
    </row>
    <row r="404">
      <c r="A404" s="24"/>
      <c r="B404" s="36" t="s">
        <v>41</v>
      </c>
      <c r="C404" s="37">
        <v>45798.0</v>
      </c>
      <c r="F404" s="38">
        <v>0.5416666666666666</v>
      </c>
      <c r="I404" s="39" t="s">
        <v>1005</v>
      </c>
      <c r="S404" s="39" t="s">
        <v>66</v>
      </c>
      <c r="AE404" s="40">
        <v>0.041666666666666664</v>
      </c>
      <c r="AG404" s="39" t="s">
        <v>67</v>
      </c>
      <c r="AJ404" s="41" t="s">
        <v>265</v>
      </c>
      <c r="AL404" s="42" t="s">
        <v>45</v>
      </c>
      <c r="AP404" s="43" t="str">
        <f t="shared" si="4"/>
        <v>REALIZADO</v>
      </c>
      <c r="AV404" s="44" t="s">
        <v>46</v>
      </c>
      <c r="AW404" s="45"/>
      <c r="AX404" s="35"/>
    </row>
    <row r="405">
      <c r="A405" s="24"/>
      <c r="B405" s="36" t="s">
        <v>34</v>
      </c>
      <c r="C405" s="37">
        <v>45799.0</v>
      </c>
      <c r="F405" s="38">
        <v>0.4583333333333333</v>
      </c>
      <c r="I405" s="39" t="s">
        <v>1006</v>
      </c>
      <c r="S405" s="39" t="s">
        <v>1007</v>
      </c>
      <c r="AE405" s="40">
        <v>0.3923611111111111</v>
      </c>
      <c r="AG405" s="39" t="s">
        <v>1008</v>
      </c>
      <c r="AJ405" s="41" t="s">
        <v>272</v>
      </c>
      <c r="AL405" s="42" t="s">
        <v>45</v>
      </c>
      <c r="AP405" s="43" t="str">
        <f t="shared" si="4"/>
        <v>REALIZADO</v>
      </c>
      <c r="AV405" s="44" t="s">
        <v>46</v>
      </c>
      <c r="AW405" s="45"/>
      <c r="AX405" s="35"/>
    </row>
    <row r="406">
      <c r="A406" s="24"/>
      <c r="B406" s="36" t="s">
        <v>34</v>
      </c>
      <c r="C406" s="37">
        <v>45799.0</v>
      </c>
      <c r="F406" s="38">
        <v>0.7916666666666666</v>
      </c>
      <c r="I406" s="39" t="s">
        <v>1009</v>
      </c>
      <c r="S406" s="39" t="s">
        <v>1010</v>
      </c>
      <c r="AE406" s="40">
        <v>0.4618055555555556</v>
      </c>
      <c r="AG406" s="39" t="s">
        <v>1011</v>
      </c>
      <c r="AJ406" s="41" t="s">
        <v>276</v>
      </c>
      <c r="AL406" s="42" t="s">
        <v>53</v>
      </c>
      <c r="AP406" s="43" t="str">
        <f t="shared" si="4"/>
        <v>REALIZADO</v>
      </c>
      <c r="AV406" s="44" t="s">
        <v>46</v>
      </c>
      <c r="AW406" s="45"/>
      <c r="AX406" s="35"/>
    </row>
    <row r="407">
      <c r="A407" s="24"/>
      <c r="B407" s="36" t="s">
        <v>41</v>
      </c>
      <c r="C407" s="37">
        <v>45800.0</v>
      </c>
      <c r="F407" s="38">
        <v>0.875</v>
      </c>
      <c r="I407" s="39" t="s">
        <v>1012</v>
      </c>
      <c r="S407" s="39" t="s">
        <v>268</v>
      </c>
      <c r="AE407" s="40">
        <v>0.041666666666666664</v>
      </c>
      <c r="AG407" s="39" t="s">
        <v>788</v>
      </c>
      <c r="AJ407" s="41" t="s">
        <v>280</v>
      </c>
      <c r="AL407" s="42" t="s">
        <v>45</v>
      </c>
      <c r="AP407" s="43" t="str">
        <f t="shared" si="4"/>
        <v>REALIZADO</v>
      </c>
      <c r="AV407" s="44" t="s">
        <v>46</v>
      </c>
      <c r="AW407" s="45"/>
      <c r="AX407" s="35"/>
    </row>
    <row r="408">
      <c r="A408" s="24"/>
      <c r="B408" s="36" t="s">
        <v>34</v>
      </c>
      <c r="C408" s="37">
        <v>45802.0</v>
      </c>
      <c r="F408" s="38">
        <v>0.5</v>
      </c>
      <c r="I408" s="39" t="s">
        <v>1013</v>
      </c>
      <c r="S408" s="39" t="s">
        <v>1014</v>
      </c>
      <c r="AE408" s="40">
        <v>0.4027777777777778</v>
      </c>
      <c r="AG408" s="39" t="s">
        <v>1015</v>
      </c>
      <c r="AJ408" s="41" t="s">
        <v>283</v>
      </c>
      <c r="AL408" s="42" t="s">
        <v>53</v>
      </c>
      <c r="AP408" s="43" t="str">
        <f t="shared" si="4"/>
        <v>REALIZADO</v>
      </c>
      <c r="AV408" s="44" t="s">
        <v>46</v>
      </c>
      <c r="AW408" s="45"/>
      <c r="AX408" s="35"/>
    </row>
    <row r="409">
      <c r="A409" s="24"/>
      <c r="B409" s="36" t="s">
        <v>34</v>
      </c>
      <c r="C409" s="37">
        <v>45803.0</v>
      </c>
      <c r="F409" s="38">
        <v>0.4166666666666667</v>
      </c>
      <c r="I409" s="39" t="s">
        <v>1016</v>
      </c>
      <c r="S409" s="39" t="s">
        <v>1017</v>
      </c>
      <c r="AE409" s="40">
        <v>0.4965277777777778</v>
      </c>
      <c r="AG409" s="39" t="s">
        <v>1018</v>
      </c>
      <c r="AJ409" s="41" t="s">
        <v>288</v>
      </c>
      <c r="AL409" s="42" t="s">
        <v>45</v>
      </c>
      <c r="AP409" s="43" t="str">
        <f t="shared" si="4"/>
        <v>REALIZADO</v>
      </c>
      <c r="AV409" s="44" t="s">
        <v>46</v>
      </c>
      <c r="AW409" s="45"/>
      <c r="AX409" s="35"/>
    </row>
    <row r="410">
      <c r="A410" s="24"/>
      <c r="B410" s="36" t="s">
        <v>34</v>
      </c>
      <c r="C410" s="37">
        <v>45803.0</v>
      </c>
      <c r="F410" s="38">
        <v>0.5</v>
      </c>
      <c r="I410" s="39" t="s">
        <v>1019</v>
      </c>
      <c r="S410" s="39" t="s">
        <v>618</v>
      </c>
      <c r="AE410" s="40">
        <v>0.2013888888888889</v>
      </c>
      <c r="AG410" s="39" t="s">
        <v>1020</v>
      </c>
      <c r="AJ410" s="41" t="s">
        <v>44</v>
      </c>
      <c r="AL410" s="42" t="s">
        <v>68</v>
      </c>
      <c r="AP410" s="43" t="str">
        <f t="shared" si="4"/>
        <v>ABORTIVA</v>
      </c>
      <c r="AV410" s="44" t="s">
        <v>69</v>
      </c>
      <c r="AW410" s="45"/>
      <c r="AX410" s="35"/>
    </row>
    <row r="411">
      <c r="A411" s="24"/>
      <c r="B411" s="36" t="s">
        <v>34</v>
      </c>
      <c r="C411" s="37">
        <v>45804.0</v>
      </c>
      <c r="F411" s="38">
        <v>0.8298611111111112</v>
      </c>
      <c r="I411" s="39" t="s">
        <v>1021</v>
      </c>
      <c r="S411" s="39" t="s">
        <v>255</v>
      </c>
      <c r="AE411" s="40">
        <v>0.1388888888888889</v>
      </c>
      <c r="AG411" s="39" t="s">
        <v>1018</v>
      </c>
      <c r="AJ411" s="41" t="s">
        <v>288</v>
      </c>
      <c r="AL411" s="42" t="s">
        <v>45</v>
      </c>
      <c r="AP411" s="43" t="str">
        <f t="shared" si="4"/>
        <v>REALIZADO</v>
      </c>
      <c r="AV411" s="44" t="s">
        <v>46</v>
      </c>
      <c r="AW411" s="45"/>
      <c r="AX411" s="35"/>
    </row>
    <row r="412">
      <c r="A412" s="24"/>
      <c r="B412" s="36" t="s">
        <v>34</v>
      </c>
      <c r="C412" s="37">
        <v>45804.0</v>
      </c>
      <c r="F412" s="38">
        <v>0.4583333333333333</v>
      </c>
      <c r="I412" s="39" t="s">
        <v>1022</v>
      </c>
      <c r="S412" s="39" t="s">
        <v>1023</v>
      </c>
      <c r="AE412" s="40">
        <v>0.18055555555555555</v>
      </c>
      <c r="AG412" s="39" t="s">
        <v>1024</v>
      </c>
      <c r="AJ412" s="41" t="s">
        <v>44</v>
      </c>
      <c r="AL412" s="42" t="s">
        <v>53</v>
      </c>
      <c r="AP412" s="43" t="str">
        <f t="shared" si="4"/>
        <v>ABORTIVA</v>
      </c>
      <c r="AV412" s="44" t="s">
        <v>69</v>
      </c>
      <c r="AW412" s="45"/>
      <c r="AX412" s="35"/>
    </row>
    <row r="413">
      <c r="A413" s="24"/>
      <c r="B413" s="36" t="s">
        <v>34</v>
      </c>
      <c r="C413" s="37">
        <v>45806.0</v>
      </c>
      <c r="F413" s="38">
        <v>0.5</v>
      </c>
      <c r="I413" s="39" t="s">
        <v>1025</v>
      </c>
      <c r="S413" s="39" t="s">
        <v>1026</v>
      </c>
      <c r="AE413" s="40">
        <v>0.2048611111111111</v>
      </c>
      <c r="AG413" s="39" t="s">
        <v>1027</v>
      </c>
      <c r="AJ413" s="41" t="s">
        <v>292</v>
      </c>
      <c r="AL413" s="42" t="s">
        <v>45</v>
      </c>
      <c r="AP413" s="43" t="str">
        <f t="shared" si="4"/>
        <v>REALIZADO</v>
      </c>
      <c r="AV413" s="44" t="s">
        <v>46</v>
      </c>
      <c r="AW413" s="45"/>
      <c r="AX413" s="35"/>
    </row>
    <row r="414">
      <c r="A414" s="24"/>
      <c r="B414" s="36" t="s">
        <v>41</v>
      </c>
      <c r="C414" s="37">
        <v>45806.0</v>
      </c>
      <c r="F414" s="38">
        <v>0.5833333333333334</v>
      </c>
      <c r="I414" s="39" t="s">
        <v>1028</v>
      </c>
      <c r="S414" s="39" t="s">
        <v>182</v>
      </c>
      <c r="AE414" s="40">
        <v>0.041666666666666664</v>
      </c>
      <c r="AG414" s="39" t="s">
        <v>67</v>
      </c>
      <c r="AJ414" s="41" t="s">
        <v>296</v>
      </c>
      <c r="AL414" s="42" t="s">
        <v>56</v>
      </c>
      <c r="AP414" s="43" t="str">
        <f t="shared" si="4"/>
        <v>REALIZADO</v>
      </c>
      <c r="AV414" s="44" t="s">
        <v>46</v>
      </c>
      <c r="AW414" s="45"/>
      <c r="AX414" s="35"/>
    </row>
    <row r="415">
      <c r="A415" s="24"/>
      <c r="B415" s="36" t="s">
        <v>34</v>
      </c>
      <c r="C415" s="37">
        <v>45807.0</v>
      </c>
      <c r="F415" s="38">
        <v>0.5</v>
      </c>
      <c r="I415" s="39" t="s">
        <v>1029</v>
      </c>
      <c r="S415" s="39" t="s">
        <v>1030</v>
      </c>
      <c r="AE415" s="40">
        <v>0.5972222222222222</v>
      </c>
      <c r="AG415" s="39" t="s">
        <v>1031</v>
      </c>
      <c r="AJ415" s="41" t="s">
        <v>300</v>
      </c>
      <c r="AL415" s="42" t="s">
        <v>45</v>
      </c>
      <c r="AP415" s="43" t="str">
        <f t="shared" si="4"/>
        <v>REALIZADO</v>
      </c>
      <c r="AV415" s="44" t="s">
        <v>46</v>
      </c>
      <c r="AW415" s="45"/>
      <c r="AX415" s="35"/>
    </row>
    <row r="416">
      <c r="A416" s="24"/>
      <c r="B416" s="36" t="s">
        <v>34</v>
      </c>
      <c r="C416" s="37">
        <v>45808.0</v>
      </c>
      <c r="F416" s="38">
        <v>0.7083333333333334</v>
      </c>
      <c r="I416" s="39" t="s">
        <v>1032</v>
      </c>
      <c r="S416" s="39" t="s">
        <v>1033</v>
      </c>
      <c r="AE416" s="40">
        <v>0.2916666666666667</v>
      </c>
      <c r="AG416" s="39" t="s">
        <v>1034</v>
      </c>
      <c r="AJ416" s="41" t="s">
        <v>44</v>
      </c>
      <c r="AL416" s="42" t="s">
        <v>68</v>
      </c>
      <c r="AP416" s="43" t="str">
        <f t="shared" si="4"/>
        <v>ABORTIVA</v>
      </c>
      <c r="AV416" s="44" t="s">
        <v>69</v>
      </c>
      <c r="AW416" s="45"/>
      <c r="AX416" s="35"/>
    </row>
    <row r="417">
      <c r="A417" s="24"/>
      <c r="B417" s="36" t="s">
        <v>34</v>
      </c>
      <c r="C417" s="37">
        <v>45809.0</v>
      </c>
      <c r="F417" s="38">
        <v>0.4166666666666667</v>
      </c>
      <c r="I417" s="39" t="s">
        <v>1035</v>
      </c>
      <c r="S417" s="39" t="s">
        <v>255</v>
      </c>
      <c r="AE417" s="40">
        <v>0.1388888888888889</v>
      </c>
      <c r="AG417" s="39" t="s">
        <v>1036</v>
      </c>
      <c r="AJ417" s="41" t="s">
        <v>304</v>
      </c>
      <c r="AL417" s="42" t="s">
        <v>45</v>
      </c>
      <c r="AP417" s="43" t="str">
        <f t="shared" si="4"/>
        <v>REALIZADO</v>
      </c>
      <c r="AV417" s="44" t="s">
        <v>46</v>
      </c>
      <c r="AW417" s="45"/>
      <c r="AX417" s="35"/>
    </row>
    <row r="418">
      <c r="A418" s="24"/>
      <c r="B418" s="36" t="s">
        <v>34</v>
      </c>
      <c r="C418" s="37">
        <v>45809.0</v>
      </c>
      <c r="F418" s="38">
        <v>0.6388888888888888</v>
      </c>
      <c r="I418" s="39" t="s">
        <v>1037</v>
      </c>
      <c r="S418" s="39" t="s">
        <v>1038</v>
      </c>
      <c r="AE418" s="40">
        <v>0.2847222222222222</v>
      </c>
      <c r="AG418" s="39" t="s">
        <v>1036</v>
      </c>
      <c r="AJ418" s="41" t="s">
        <v>304</v>
      </c>
      <c r="AL418" s="42" t="s">
        <v>45</v>
      </c>
      <c r="AP418" s="43" t="str">
        <f t="shared" si="4"/>
        <v>REALIZADO</v>
      </c>
      <c r="AV418" s="44" t="s">
        <v>46</v>
      </c>
      <c r="AW418" s="45"/>
      <c r="AX418" s="35"/>
    </row>
    <row r="419">
      <c r="A419" s="24"/>
      <c r="B419" s="36" t="s">
        <v>34</v>
      </c>
      <c r="C419" s="37">
        <v>45810.0</v>
      </c>
      <c r="F419" s="38">
        <v>0.5</v>
      </c>
      <c r="I419" s="39" t="s">
        <v>1039</v>
      </c>
      <c r="S419" s="39" t="s">
        <v>1040</v>
      </c>
      <c r="AE419" s="40">
        <v>0.2361111111111111</v>
      </c>
      <c r="AG419" s="39" t="s">
        <v>1041</v>
      </c>
      <c r="AJ419" s="41" t="s">
        <v>308</v>
      </c>
      <c r="AL419" s="42" t="s">
        <v>56</v>
      </c>
      <c r="AP419" s="43" t="str">
        <f t="shared" si="4"/>
        <v>REALIZADO</v>
      </c>
      <c r="AV419" s="44" t="s">
        <v>46</v>
      </c>
      <c r="AW419" s="45"/>
      <c r="AX419" s="35"/>
    </row>
    <row r="420">
      <c r="A420" s="24"/>
      <c r="B420" s="36" t="s">
        <v>34</v>
      </c>
      <c r="C420" s="37">
        <v>45811.0</v>
      </c>
      <c r="F420" s="38">
        <v>0.75</v>
      </c>
      <c r="I420" s="39" t="s">
        <v>1039</v>
      </c>
      <c r="S420" s="39" t="s">
        <v>1042</v>
      </c>
      <c r="AE420" s="40">
        <v>0.4861111111111111</v>
      </c>
      <c r="AG420" s="39" t="s">
        <v>1043</v>
      </c>
      <c r="AJ420" s="41" t="s">
        <v>308</v>
      </c>
      <c r="AL420" s="42" t="s">
        <v>56</v>
      </c>
      <c r="AP420" s="43" t="str">
        <f t="shared" si="4"/>
        <v>REALIZADO</v>
      </c>
      <c r="AV420" s="44" t="s">
        <v>46</v>
      </c>
      <c r="AW420" s="45"/>
      <c r="AX420" s="35"/>
    </row>
    <row r="421">
      <c r="A421" s="24"/>
      <c r="B421" s="36" t="s">
        <v>34</v>
      </c>
      <c r="C421" s="37">
        <v>45811.0</v>
      </c>
      <c r="F421" s="38">
        <v>0.6666666666666666</v>
      </c>
      <c r="I421" s="39" t="s">
        <v>1021</v>
      </c>
      <c r="S421" s="39" t="s">
        <v>270</v>
      </c>
      <c r="AE421" s="40">
        <v>0.08333333333333333</v>
      </c>
      <c r="AG421" s="39" t="s">
        <v>1044</v>
      </c>
      <c r="AJ421" s="41" t="s">
        <v>321</v>
      </c>
      <c r="AL421" s="42" t="s">
        <v>45</v>
      </c>
      <c r="AP421" s="43" t="str">
        <f t="shared" si="4"/>
        <v>REALIZADO</v>
      </c>
      <c r="AV421" s="44" t="s">
        <v>46</v>
      </c>
      <c r="AW421" s="45"/>
      <c r="AX421" s="35"/>
    </row>
    <row r="422">
      <c r="A422" s="24"/>
      <c r="B422" s="36" t="s">
        <v>34</v>
      </c>
      <c r="C422" s="37">
        <v>45811.0</v>
      </c>
      <c r="F422" s="38">
        <v>0.8333333333333334</v>
      </c>
      <c r="I422" s="39" t="s">
        <v>954</v>
      </c>
      <c r="S422" s="39" t="s">
        <v>372</v>
      </c>
      <c r="AE422" s="40">
        <v>0.16666666666666666</v>
      </c>
      <c r="AG422" s="39" t="s">
        <v>1044</v>
      </c>
      <c r="AJ422" s="41" t="s">
        <v>321</v>
      </c>
      <c r="AL422" s="42" t="s">
        <v>45</v>
      </c>
      <c r="AP422" s="43" t="str">
        <f t="shared" si="4"/>
        <v>REALIZADO</v>
      </c>
      <c r="AV422" s="44" t="s">
        <v>46</v>
      </c>
      <c r="AW422" s="45"/>
      <c r="AX422" s="35"/>
    </row>
    <row r="423">
      <c r="A423" s="24"/>
      <c r="B423" s="36" t="s">
        <v>41</v>
      </c>
      <c r="C423" s="37">
        <v>45812.0</v>
      </c>
      <c r="F423" s="38">
        <v>0.75</v>
      </c>
      <c r="I423" s="39" t="s">
        <v>1045</v>
      </c>
      <c r="S423" s="39" t="s">
        <v>892</v>
      </c>
      <c r="AE423" s="40">
        <v>0.0625</v>
      </c>
      <c r="AG423" s="39" t="s">
        <v>652</v>
      </c>
      <c r="AJ423" s="41" t="s">
        <v>44</v>
      </c>
      <c r="AL423" s="42" t="s">
        <v>53</v>
      </c>
      <c r="AP423" s="43" t="str">
        <f t="shared" si="4"/>
        <v>ABORTIVA</v>
      </c>
      <c r="AV423" s="44" t="s">
        <v>69</v>
      </c>
      <c r="AW423" s="45"/>
      <c r="AX423" s="35"/>
    </row>
    <row r="424">
      <c r="A424" s="24"/>
      <c r="B424" s="36" t="s">
        <v>41</v>
      </c>
      <c r="C424" s="37">
        <v>45812.0</v>
      </c>
      <c r="F424" s="38">
        <v>0.7916666666666666</v>
      </c>
      <c r="I424" s="39" t="s">
        <v>1046</v>
      </c>
      <c r="S424" s="39" t="s">
        <v>66</v>
      </c>
      <c r="AE424" s="40">
        <v>0.041666666666666664</v>
      </c>
      <c r="AG424" s="39" t="s">
        <v>1047</v>
      </c>
      <c r="AJ424" s="41" t="s">
        <v>44</v>
      </c>
      <c r="AL424" s="42" t="s">
        <v>68</v>
      </c>
      <c r="AP424" s="43" t="str">
        <f t="shared" si="4"/>
        <v>ABORTIVA</v>
      </c>
      <c r="AV424" s="44" t="s">
        <v>69</v>
      </c>
      <c r="AW424" s="45"/>
      <c r="AX424" s="35"/>
    </row>
    <row r="425">
      <c r="A425" s="24"/>
      <c r="B425" s="36" t="s">
        <v>34</v>
      </c>
      <c r="C425" s="37">
        <v>45812.0</v>
      </c>
      <c r="F425" s="38">
        <v>0.875</v>
      </c>
      <c r="I425" s="39" t="s">
        <v>1048</v>
      </c>
      <c r="S425" s="39" t="s">
        <v>286</v>
      </c>
      <c r="AE425" s="40">
        <v>0.20833333333333334</v>
      </c>
      <c r="AG425" s="39" t="s">
        <v>1049</v>
      </c>
      <c r="AJ425" s="41" t="s">
        <v>327</v>
      </c>
      <c r="AL425" s="42" t="s">
        <v>45</v>
      </c>
      <c r="AP425" s="43" t="str">
        <f t="shared" si="4"/>
        <v>REALIZADO</v>
      </c>
      <c r="AV425" s="44" t="s">
        <v>46</v>
      </c>
      <c r="AW425" s="45"/>
      <c r="AX425" s="35"/>
    </row>
    <row r="426">
      <c r="A426" s="24"/>
      <c r="B426" s="36" t="s">
        <v>34</v>
      </c>
      <c r="C426" s="37">
        <v>45814.0</v>
      </c>
      <c r="F426" s="38">
        <v>0.5</v>
      </c>
      <c r="I426" s="39" t="s">
        <v>1050</v>
      </c>
      <c r="S426" s="39" t="s">
        <v>903</v>
      </c>
      <c r="AE426" s="40">
        <v>0.5555555555555556</v>
      </c>
      <c r="AG426" s="39" t="s">
        <v>1051</v>
      </c>
      <c r="AJ426" s="41" t="s">
        <v>332</v>
      </c>
      <c r="AL426" s="42" t="s">
        <v>56</v>
      </c>
      <c r="AP426" s="43" t="str">
        <f t="shared" si="4"/>
        <v>REALIZADO</v>
      </c>
      <c r="AV426" s="44" t="s">
        <v>46</v>
      </c>
      <c r="AW426" s="45"/>
      <c r="AX426" s="35"/>
    </row>
    <row r="427">
      <c r="A427" s="24"/>
      <c r="B427" s="36" t="s">
        <v>41</v>
      </c>
      <c r="C427" s="37">
        <v>45814.0</v>
      </c>
      <c r="F427" s="38">
        <v>0.5416666666666666</v>
      </c>
      <c r="I427" s="39" t="s">
        <v>1004</v>
      </c>
      <c r="S427" s="39" t="s">
        <v>1052</v>
      </c>
      <c r="AE427" s="40">
        <v>0.041666666666666664</v>
      </c>
      <c r="AG427" s="39" t="s">
        <v>67</v>
      </c>
      <c r="AJ427" s="41" t="s">
        <v>336</v>
      </c>
      <c r="AL427" s="42" t="s">
        <v>53</v>
      </c>
      <c r="AP427" s="43" t="str">
        <f t="shared" si="4"/>
        <v>REALIZADO</v>
      </c>
      <c r="AV427" s="44" t="s">
        <v>46</v>
      </c>
      <c r="AW427" s="45"/>
      <c r="AX427" s="35"/>
    </row>
    <row r="428">
      <c r="A428" s="24"/>
      <c r="B428" s="36" t="s">
        <v>34</v>
      </c>
      <c r="C428" s="37">
        <v>45815.0</v>
      </c>
      <c r="F428" s="38">
        <v>0.16666666666666666</v>
      </c>
      <c r="I428" s="39" t="s">
        <v>1053</v>
      </c>
      <c r="S428" s="39" t="s">
        <v>1054</v>
      </c>
      <c r="AE428" s="40">
        <v>0.4965277777777778</v>
      </c>
      <c r="AG428" s="39" t="s">
        <v>1055</v>
      </c>
      <c r="AJ428" s="41" t="s">
        <v>347</v>
      </c>
      <c r="AL428" s="42" t="s">
        <v>53</v>
      </c>
      <c r="AP428" s="43" t="str">
        <f t="shared" si="4"/>
        <v>REALIZADO</v>
      </c>
      <c r="AV428" s="44" t="s">
        <v>46</v>
      </c>
      <c r="AW428" s="45"/>
      <c r="AX428" s="35"/>
    </row>
    <row r="429">
      <c r="A429" s="24"/>
      <c r="B429" s="36" t="s">
        <v>41</v>
      </c>
      <c r="C429" s="37">
        <v>45815.0</v>
      </c>
      <c r="F429" s="38">
        <v>0.75</v>
      </c>
      <c r="I429" s="39" t="s">
        <v>1056</v>
      </c>
      <c r="S429" s="39" t="s">
        <v>66</v>
      </c>
      <c r="AE429" s="40">
        <v>0.041666666666666664</v>
      </c>
      <c r="AG429" s="39" t="s">
        <v>1047</v>
      </c>
      <c r="AJ429" s="41" t="s">
        <v>351</v>
      </c>
      <c r="AL429" s="42" t="s">
        <v>68</v>
      </c>
      <c r="AP429" s="43" t="str">
        <f t="shared" si="4"/>
        <v>REALIZADO</v>
      </c>
      <c r="AV429" s="44" t="s">
        <v>46</v>
      </c>
      <c r="AW429" s="45"/>
      <c r="AX429" s="35"/>
    </row>
    <row r="430">
      <c r="A430" s="24"/>
      <c r="B430" s="36" t="s">
        <v>34</v>
      </c>
      <c r="C430" s="37">
        <v>45816.0</v>
      </c>
      <c r="F430" s="38">
        <v>0.4583333333333333</v>
      </c>
      <c r="I430" s="39" t="s">
        <v>1057</v>
      </c>
      <c r="S430" s="39" t="s">
        <v>1058</v>
      </c>
      <c r="AE430" s="40">
        <v>0.3958333333333333</v>
      </c>
      <c r="AG430" s="39" t="s">
        <v>1059</v>
      </c>
      <c r="AJ430" s="41" t="s">
        <v>339</v>
      </c>
      <c r="AL430" s="42" t="s">
        <v>53</v>
      </c>
      <c r="AP430" s="43" t="str">
        <f t="shared" si="4"/>
        <v>REALIZADO</v>
      </c>
      <c r="AV430" s="44" t="s">
        <v>46</v>
      </c>
      <c r="AW430" s="45"/>
      <c r="AX430" s="35"/>
    </row>
    <row r="431">
      <c r="A431" s="24"/>
      <c r="B431" s="36" t="s">
        <v>34</v>
      </c>
      <c r="C431" s="37">
        <v>45816.0</v>
      </c>
      <c r="F431" s="38">
        <v>0.4583333333333333</v>
      </c>
      <c r="I431" s="39" t="s">
        <v>1035</v>
      </c>
      <c r="S431" s="39" t="s">
        <v>1060</v>
      </c>
      <c r="AE431" s="40">
        <v>0.6805555555555556</v>
      </c>
      <c r="AG431" s="39" t="s">
        <v>1061</v>
      </c>
      <c r="AJ431" s="41" t="s">
        <v>342</v>
      </c>
      <c r="AL431" s="42" t="s">
        <v>56</v>
      </c>
      <c r="AP431" s="43" t="str">
        <f t="shared" si="4"/>
        <v>REALIZADO</v>
      </c>
      <c r="AV431" s="44" t="s">
        <v>46</v>
      </c>
      <c r="AW431" s="45"/>
      <c r="AX431" s="35"/>
    </row>
    <row r="432">
      <c r="A432" s="24"/>
      <c r="B432" s="36" t="s">
        <v>34</v>
      </c>
      <c r="C432" s="37">
        <v>45818.0</v>
      </c>
      <c r="F432" s="38">
        <v>0.5</v>
      </c>
      <c r="I432" s="39" t="s">
        <v>1062</v>
      </c>
      <c r="S432" s="39" t="s">
        <v>1063</v>
      </c>
      <c r="AE432" s="40">
        <v>0.3888888888888889</v>
      </c>
      <c r="AG432" s="39" t="s">
        <v>1064</v>
      </c>
      <c r="AJ432" s="41" t="s">
        <v>355</v>
      </c>
      <c r="AL432" s="42" t="s">
        <v>68</v>
      </c>
      <c r="AP432" s="43" t="str">
        <f t="shared" si="4"/>
        <v>REALIZADO</v>
      </c>
      <c r="AV432" s="44" t="s">
        <v>46</v>
      </c>
      <c r="AW432" s="45"/>
      <c r="AX432" s="35"/>
    </row>
    <row r="433">
      <c r="A433" s="24"/>
      <c r="B433" s="36" t="s">
        <v>41</v>
      </c>
      <c r="C433" s="37">
        <v>45819.0</v>
      </c>
      <c r="F433" s="38">
        <v>0.5208333333333334</v>
      </c>
      <c r="I433" s="39" t="s">
        <v>1065</v>
      </c>
      <c r="S433" s="39" t="s">
        <v>268</v>
      </c>
      <c r="AE433" s="40">
        <v>0.010416666666666666</v>
      </c>
      <c r="AG433" s="39" t="s">
        <v>1066</v>
      </c>
      <c r="AJ433" s="41" t="s">
        <v>44</v>
      </c>
      <c r="AL433" s="42" t="s">
        <v>56</v>
      </c>
      <c r="AP433" s="43" t="str">
        <f t="shared" si="4"/>
        <v>ABORTIVA</v>
      </c>
      <c r="AV433" s="44" t="s">
        <v>713</v>
      </c>
      <c r="AW433" s="45"/>
      <c r="AX433" s="35"/>
    </row>
    <row r="434">
      <c r="A434" s="24"/>
      <c r="B434" s="36" t="s">
        <v>41</v>
      </c>
      <c r="C434" s="37">
        <v>45819.0</v>
      </c>
      <c r="F434" s="38">
        <v>0.5520833333333334</v>
      </c>
      <c r="I434" s="39" t="s">
        <v>1067</v>
      </c>
      <c r="S434" s="39" t="s">
        <v>268</v>
      </c>
      <c r="AE434" s="40">
        <v>0.010416666666666666</v>
      </c>
      <c r="AG434" s="39" t="s">
        <v>1066</v>
      </c>
      <c r="AJ434" s="41" t="s">
        <v>44</v>
      </c>
      <c r="AL434" s="42" t="s">
        <v>56</v>
      </c>
      <c r="AP434" s="43" t="str">
        <f t="shared" si="4"/>
        <v>ABORTIVA</v>
      </c>
      <c r="AV434" s="44" t="s">
        <v>713</v>
      </c>
      <c r="AW434" s="45"/>
      <c r="AX434" s="35"/>
    </row>
    <row r="435">
      <c r="A435" s="24"/>
      <c r="B435" s="36" t="s">
        <v>41</v>
      </c>
      <c r="C435" s="37">
        <v>45819.0</v>
      </c>
      <c r="F435" s="38">
        <v>0.5833333333333334</v>
      </c>
      <c r="I435" s="39" t="s">
        <v>1068</v>
      </c>
      <c r="S435" s="39" t="s">
        <v>268</v>
      </c>
      <c r="AE435" s="40">
        <v>0.020833333333333332</v>
      </c>
      <c r="AG435" s="39" t="s">
        <v>1066</v>
      </c>
      <c r="AJ435" s="41" t="s">
        <v>44</v>
      </c>
      <c r="AL435" s="42" t="s">
        <v>56</v>
      </c>
      <c r="AP435" s="43" t="str">
        <f t="shared" si="4"/>
        <v>ABORTIVA</v>
      </c>
      <c r="AV435" s="44" t="s">
        <v>713</v>
      </c>
      <c r="AW435" s="45"/>
      <c r="AX435" s="35"/>
    </row>
    <row r="436">
      <c r="A436" s="24"/>
      <c r="B436" s="36" t="s">
        <v>41</v>
      </c>
      <c r="C436" s="37">
        <v>45819.0</v>
      </c>
      <c r="F436" s="38">
        <v>0.6666666666666666</v>
      </c>
      <c r="I436" s="39" t="s">
        <v>1069</v>
      </c>
      <c r="S436" s="39" t="s">
        <v>268</v>
      </c>
      <c r="AE436" s="40">
        <v>0.041666666666666664</v>
      </c>
      <c r="AG436" s="39" t="s">
        <v>1066</v>
      </c>
      <c r="AJ436" s="41" t="s">
        <v>44</v>
      </c>
      <c r="AL436" s="42" t="s">
        <v>56</v>
      </c>
      <c r="AP436" s="43" t="str">
        <f t="shared" si="4"/>
        <v>ABORTIVA</v>
      </c>
      <c r="AV436" s="44" t="s">
        <v>713</v>
      </c>
      <c r="AW436" s="45"/>
      <c r="AX436" s="35"/>
    </row>
    <row r="437">
      <c r="A437" s="24"/>
      <c r="B437" s="36" t="s">
        <v>34</v>
      </c>
      <c r="C437" s="37">
        <v>45820.0</v>
      </c>
      <c r="F437" s="38">
        <v>0.4583333333333333</v>
      </c>
      <c r="I437" s="39" t="s">
        <v>1070</v>
      </c>
      <c r="S437" s="39" t="s">
        <v>1071</v>
      </c>
      <c r="AE437" s="40">
        <v>0.4791666666666667</v>
      </c>
      <c r="AG437" s="39" t="s">
        <v>1072</v>
      </c>
      <c r="AJ437" s="41" t="s">
        <v>359</v>
      </c>
      <c r="AL437" s="42" t="s">
        <v>68</v>
      </c>
      <c r="AP437" s="43" t="str">
        <f t="shared" si="4"/>
        <v>REALIZADO</v>
      </c>
      <c r="AV437" s="44" t="s">
        <v>46</v>
      </c>
      <c r="AW437" s="45"/>
      <c r="AX437" s="35"/>
    </row>
    <row r="438">
      <c r="A438" s="24"/>
      <c r="B438" s="36" t="s">
        <v>34</v>
      </c>
      <c r="C438" s="37">
        <v>45820.0</v>
      </c>
      <c r="F438" s="38">
        <v>0.5</v>
      </c>
      <c r="I438" s="39" t="s">
        <v>1073</v>
      </c>
      <c r="S438" s="39" t="s">
        <v>1074</v>
      </c>
      <c r="AE438" s="40">
        <v>0.4618055555555556</v>
      </c>
      <c r="AG438" s="39" t="s">
        <v>1075</v>
      </c>
      <c r="AJ438" s="41" t="s">
        <v>362</v>
      </c>
      <c r="AL438" s="42" t="s">
        <v>56</v>
      </c>
      <c r="AP438" s="43" t="str">
        <f t="shared" si="4"/>
        <v>REALIZADO</v>
      </c>
      <c r="AV438" s="44" t="s">
        <v>46</v>
      </c>
      <c r="AW438" s="45"/>
      <c r="AX438" s="35"/>
    </row>
    <row r="439">
      <c r="A439" s="24"/>
      <c r="B439" s="36" t="s">
        <v>41</v>
      </c>
      <c r="C439" s="37">
        <v>45820.0</v>
      </c>
      <c r="F439" s="38">
        <v>0.7083333333333334</v>
      </c>
      <c r="I439" s="39" t="s">
        <v>1076</v>
      </c>
      <c r="S439" s="39" t="s">
        <v>1077</v>
      </c>
      <c r="AE439" s="40">
        <v>0.0625</v>
      </c>
      <c r="AG439" s="39" t="s">
        <v>652</v>
      </c>
      <c r="AJ439" s="41" t="s">
        <v>370</v>
      </c>
      <c r="AL439" s="42" t="s">
        <v>53</v>
      </c>
      <c r="AP439" s="43" t="str">
        <f t="shared" si="4"/>
        <v>REALIZADO</v>
      </c>
      <c r="AV439" s="44" t="s">
        <v>46</v>
      </c>
      <c r="AW439" s="45"/>
      <c r="AX439" s="35"/>
    </row>
    <row r="440">
      <c r="A440" s="24"/>
      <c r="B440" s="36" t="s">
        <v>41</v>
      </c>
      <c r="C440" s="37">
        <v>45821.0</v>
      </c>
      <c r="F440" s="38">
        <v>0.4583333333333333</v>
      </c>
      <c r="I440" s="39" t="s">
        <v>1078</v>
      </c>
      <c r="S440" s="39" t="s">
        <v>268</v>
      </c>
      <c r="AE440" s="40">
        <v>0.041666666666666664</v>
      </c>
      <c r="AG440" s="39" t="s">
        <v>788</v>
      </c>
      <c r="AJ440" s="41" t="s">
        <v>44</v>
      </c>
      <c r="AL440" s="42" t="s">
        <v>53</v>
      </c>
      <c r="AP440" s="43" t="str">
        <f t="shared" si="4"/>
        <v>ABORTIVA</v>
      </c>
      <c r="AV440" s="44" t="s">
        <v>57</v>
      </c>
      <c r="AW440" s="45"/>
      <c r="AX440" s="35"/>
    </row>
    <row r="441">
      <c r="A441" s="24"/>
      <c r="B441" s="36" t="s">
        <v>41</v>
      </c>
      <c r="C441" s="37">
        <v>45821.0</v>
      </c>
      <c r="F441" s="38">
        <v>0.5416666666666666</v>
      </c>
      <c r="I441" s="39" t="s">
        <v>1079</v>
      </c>
      <c r="S441" s="39" t="s">
        <v>118</v>
      </c>
      <c r="AE441" s="40">
        <v>0.0625</v>
      </c>
      <c r="AG441" s="39" t="s">
        <v>682</v>
      </c>
      <c r="AJ441" s="41" t="s">
        <v>44</v>
      </c>
      <c r="AL441" s="42" t="s">
        <v>53</v>
      </c>
      <c r="AP441" s="43" t="str">
        <f t="shared" si="4"/>
        <v>ABORTIVA</v>
      </c>
      <c r="AV441" s="44" t="s">
        <v>57</v>
      </c>
      <c r="AW441" s="45"/>
      <c r="AX441" s="35"/>
    </row>
    <row r="442">
      <c r="A442" s="24"/>
      <c r="B442" s="36" t="s">
        <v>34</v>
      </c>
      <c r="C442" s="37">
        <v>45822.0</v>
      </c>
      <c r="F442" s="38">
        <v>0.4583333333333333</v>
      </c>
      <c r="I442" s="39" t="s">
        <v>1080</v>
      </c>
      <c r="S442" s="39" t="s">
        <v>270</v>
      </c>
      <c r="AE442" s="40">
        <v>0.0625</v>
      </c>
      <c r="AG442" s="39" t="s">
        <v>1081</v>
      </c>
      <c r="AJ442" s="41" t="s">
        <v>375</v>
      </c>
      <c r="AL442" s="42" t="s">
        <v>68</v>
      </c>
      <c r="AP442" s="43" t="str">
        <f t="shared" si="4"/>
        <v>REALIZADO</v>
      </c>
      <c r="AV442" s="44" t="s">
        <v>46</v>
      </c>
      <c r="AW442" s="45"/>
      <c r="AX442" s="35"/>
    </row>
    <row r="443">
      <c r="A443" s="24"/>
      <c r="B443" s="36" t="s">
        <v>34</v>
      </c>
      <c r="C443" s="37">
        <v>45823.0</v>
      </c>
      <c r="F443" s="38">
        <v>0.5</v>
      </c>
      <c r="I443" s="39" t="s">
        <v>1082</v>
      </c>
      <c r="S443" s="39" t="s">
        <v>1083</v>
      </c>
      <c r="AE443" s="40">
        <v>0.3888888888888889</v>
      </c>
      <c r="AG443" s="39" t="s">
        <v>1084</v>
      </c>
      <c r="AJ443" s="41" t="s">
        <v>379</v>
      </c>
      <c r="AL443" s="42" t="s">
        <v>68</v>
      </c>
      <c r="AP443" s="43" t="str">
        <f t="shared" si="4"/>
        <v>REALIZADO</v>
      </c>
      <c r="AV443" s="44" t="s">
        <v>46</v>
      </c>
      <c r="AW443" s="45"/>
      <c r="AX443" s="35"/>
    </row>
    <row r="444">
      <c r="A444" s="24"/>
      <c r="B444" s="36" t="s">
        <v>41</v>
      </c>
      <c r="C444" s="37">
        <v>45825.0</v>
      </c>
      <c r="F444" s="38">
        <v>0.4791666666666667</v>
      </c>
      <c r="I444" s="39" t="s">
        <v>1085</v>
      </c>
      <c r="S444" s="39" t="s">
        <v>185</v>
      </c>
      <c r="AE444" s="40">
        <v>0.027777777777777776</v>
      </c>
      <c r="AG444" s="39" t="s">
        <v>1086</v>
      </c>
      <c r="AJ444" s="41" t="s">
        <v>382</v>
      </c>
      <c r="AL444" s="42" t="s">
        <v>68</v>
      </c>
      <c r="AP444" s="43" t="str">
        <f t="shared" si="4"/>
        <v>REALIZADO</v>
      </c>
      <c r="AV444" s="44" t="s">
        <v>46</v>
      </c>
      <c r="AW444" s="45"/>
      <c r="AX444" s="35"/>
    </row>
    <row r="445">
      <c r="A445" s="24"/>
      <c r="B445" s="36" t="s">
        <v>34</v>
      </c>
      <c r="C445" s="37">
        <v>45826.0</v>
      </c>
      <c r="F445" s="38">
        <v>0.4583333333333333</v>
      </c>
      <c r="I445" s="39" t="s">
        <v>1087</v>
      </c>
      <c r="S445" s="39" t="s">
        <v>1088</v>
      </c>
      <c r="AE445" s="40">
        <v>0.3958333333333333</v>
      </c>
      <c r="AG445" s="39" t="s">
        <v>1089</v>
      </c>
      <c r="AJ445" s="41" t="s">
        <v>392</v>
      </c>
      <c r="AL445" s="42" t="s">
        <v>68</v>
      </c>
      <c r="AP445" s="43" t="str">
        <f t="shared" si="4"/>
        <v>REALIZADO</v>
      </c>
      <c r="AV445" s="44" t="s">
        <v>46</v>
      </c>
      <c r="AW445" s="45"/>
      <c r="AX445" s="35"/>
    </row>
    <row r="446">
      <c r="A446" s="24"/>
      <c r="B446" s="36" t="s">
        <v>34</v>
      </c>
      <c r="C446" s="37">
        <v>45826.0</v>
      </c>
      <c r="F446" s="38">
        <v>0.75</v>
      </c>
      <c r="I446" s="39" t="s">
        <v>1090</v>
      </c>
      <c r="S446" s="39" t="s">
        <v>1091</v>
      </c>
      <c r="AE446" s="40">
        <v>0.6631944444444444</v>
      </c>
      <c r="AG446" s="39" t="s">
        <v>1092</v>
      </c>
      <c r="AJ446" s="41" t="s">
        <v>44</v>
      </c>
      <c r="AL446" s="42" t="s">
        <v>53</v>
      </c>
      <c r="AP446" s="43" t="str">
        <f t="shared" si="4"/>
        <v>ABORTIVA</v>
      </c>
      <c r="AV446" s="44" t="s">
        <v>69</v>
      </c>
      <c r="AW446" s="45"/>
      <c r="AX446" s="35"/>
    </row>
    <row r="447">
      <c r="A447" s="24"/>
      <c r="B447" s="36" t="s">
        <v>41</v>
      </c>
      <c r="C447" s="37">
        <v>45826.0</v>
      </c>
      <c r="F447" s="38">
        <v>0.5833333333333334</v>
      </c>
      <c r="I447" s="39" t="s">
        <v>1035</v>
      </c>
      <c r="S447" s="39" t="s">
        <v>749</v>
      </c>
      <c r="AE447" s="40">
        <v>0.041666666666666664</v>
      </c>
      <c r="AG447" s="39" t="s">
        <v>67</v>
      </c>
      <c r="AJ447" s="41" t="s">
        <v>44</v>
      </c>
      <c r="AL447" s="42" t="s">
        <v>45</v>
      </c>
      <c r="AP447" s="43" t="str">
        <f t="shared" si="4"/>
        <v>ABORTIVA</v>
      </c>
      <c r="AV447" s="44" t="s">
        <v>713</v>
      </c>
      <c r="AW447" s="45"/>
      <c r="AX447" s="35"/>
    </row>
    <row r="448">
      <c r="A448" s="24"/>
      <c r="B448" s="36" t="s">
        <v>41</v>
      </c>
      <c r="C448" s="37">
        <v>45826.0</v>
      </c>
      <c r="F448" s="38">
        <v>0.75</v>
      </c>
      <c r="I448" s="39" t="s">
        <v>1035</v>
      </c>
      <c r="S448" s="39" t="s">
        <v>749</v>
      </c>
      <c r="AE448" s="40">
        <v>0.041666666666666664</v>
      </c>
      <c r="AG448" s="39" t="s">
        <v>67</v>
      </c>
      <c r="AJ448" s="41" t="s">
        <v>395</v>
      </c>
      <c r="AL448" s="42" t="s">
        <v>56</v>
      </c>
      <c r="AP448" s="43" t="str">
        <f t="shared" si="4"/>
        <v>REALIZADO</v>
      </c>
      <c r="AV448" s="44" t="s">
        <v>46</v>
      </c>
      <c r="AW448" s="45"/>
      <c r="AX448" s="35"/>
    </row>
    <row r="449">
      <c r="A449" s="24"/>
      <c r="B449" s="36" t="s">
        <v>34</v>
      </c>
      <c r="C449" s="37">
        <v>45826.0</v>
      </c>
      <c r="F449" s="38">
        <v>0.020833333333333332</v>
      </c>
      <c r="I449" s="39" t="s">
        <v>1093</v>
      </c>
      <c r="S449" s="39" t="s">
        <v>357</v>
      </c>
      <c r="AE449" s="40">
        <v>0.3333333333333333</v>
      </c>
      <c r="AG449" s="39" t="s">
        <v>1094</v>
      </c>
      <c r="AJ449" s="41" t="s">
        <v>405</v>
      </c>
      <c r="AL449" s="42" t="s">
        <v>68</v>
      </c>
      <c r="AP449" s="43" t="str">
        <f t="shared" si="4"/>
        <v>REALIZADO</v>
      </c>
      <c r="AV449" s="44" t="s">
        <v>46</v>
      </c>
      <c r="AW449" s="45"/>
      <c r="AX449" s="35"/>
    </row>
    <row r="450">
      <c r="A450" s="24"/>
      <c r="B450" s="36" t="s">
        <v>41</v>
      </c>
      <c r="C450" s="37">
        <v>45827.0</v>
      </c>
      <c r="F450" s="38">
        <v>0.5</v>
      </c>
      <c r="I450" s="39" t="s">
        <v>1048</v>
      </c>
      <c r="S450" s="39" t="s">
        <v>749</v>
      </c>
      <c r="AE450" s="40">
        <v>0.041666666666666664</v>
      </c>
      <c r="AG450" s="39" t="s">
        <v>67</v>
      </c>
      <c r="AJ450" s="41" t="s">
        <v>44</v>
      </c>
      <c r="AL450" s="42" t="s">
        <v>45</v>
      </c>
      <c r="AP450" s="43" t="str">
        <f t="shared" si="4"/>
        <v>ABORTIVA</v>
      </c>
      <c r="AV450" s="44" t="s">
        <v>713</v>
      </c>
      <c r="AW450" s="45"/>
      <c r="AX450" s="35"/>
    </row>
    <row r="451">
      <c r="A451" s="24"/>
      <c r="B451" s="36" t="s">
        <v>34</v>
      </c>
      <c r="C451" s="37">
        <v>45829.0</v>
      </c>
      <c r="F451" s="38">
        <v>0.5</v>
      </c>
      <c r="I451" s="39" t="s">
        <v>1095</v>
      </c>
      <c r="S451" s="39" t="s">
        <v>270</v>
      </c>
      <c r="AE451" s="40">
        <v>0.08333333333333333</v>
      </c>
      <c r="AG451" s="39" t="s">
        <v>1096</v>
      </c>
      <c r="AJ451" s="41" t="s">
        <v>433</v>
      </c>
      <c r="AL451" s="42" t="s">
        <v>56</v>
      </c>
      <c r="AP451" s="43" t="str">
        <f t="shared" si="4"/>
        <v>REALIZADO</v>
      </c>
      <c r="AV451" s="44" t="s">
        <v>46</v>
      </c>
      <c r="AW451" s="45"/>
      <c r="AX451" s="35"/>
    </row>
    <row r="452">
      <c r="A452" s="24"/>
      <c r="B452" s="36" t="s">
        <v>34</v>
      </c>
      <c r="C452" s="37">
        <v>45829.0</v>
      </c>
      <c r="F452" s="38">
        <v>0.4583333333333333</v>
      </c>
      <c r="I452" s="39" t="s">
        <v>1097</v>
      </c>
      <c r="S452" s="39" t="s">
        <v>1098</v>
      </c>
      <c r="AE452" s="40">
        <v>0.4166666666666667</v>
      </c>
      <c r="AG452" s="39" t="s">
        <v>1099</v>
      </c>
      <c r="AJ452" s="41" t="s">
        <v>409</v>
      </c>
      <c r="AL452" s="42" t="s">
        <v>53</v>
      </c>
      <c r="AP452" s="43" t="str">
        <f t="shared" si="4"/>
        <v>REALIZADO</v>
      </c>
      <c r="AV452" s="44" t="s">
        <v>46</v>
      </c>
      <c r="AW452" s="45"/>
      <c r="AX452" s="35"/>
    </row>
    <row r="453">
      <c r="A453" s="24"/>
      <c r="B453" s="36" t="s">
        <v>41</v>
      </c>
      <c r="C453" s="37">
        <v>45831.0</v>
      </c>
      <c r="F453" s="38">
        <v>0.5416666666666666</v>
      </c>
      <c r="I453" s="39" t="s">
        <v>1100</v>
      </c>
      <c r="S453" s="39" t="s">
        <v>774</v>
      </c>
      <c r="AE453" s="40">
        <v>0.0625</v>
      </c>
      <c r="AG453" s="39" t="s">
        <v>682</v>
      </c>
      <c r="AJ453" s="41" t="s">
        <v>399</v>
      </c>
      <c r="AL453" s="42" t="s">
        <v>53</v>
      </c>
      <c r="AP453" s="43" t="str">
        <f t="shared" si="4"/>
        <v>REALIZADO</v>
      </c>
      <c r="AV453" s="44" t="s">
        <v>46</v>
      </c>
      <c r="AW453" s="45"/>
      <c r="AX453" s="35"/>
    </row>
    <row r="454">
      <c r="A454" s="24"/>
      <c r="B454" s="36" t="s">
        <v>41</v>
      </c>
      <c r="C454" s="37">
        <v>45831.0</v>
      </c>
      <c r="F454" s="38">
        <v>0.5416666666666666</v>
      </c>
      <c r="I454" s="39" t="s">
        <v>1101</v>
      </c>
      <c r="S454" s="39" t="s">
        <v>66</v>
      </c>
      <c r="AE454" s="40">
        <v>0.041666666666666664</v>
      </c>
      <c r="AG454" s="39" t="s">
        <v>67</v>
      </c>
      <c r="AJ454" s="41" t="s">
        <v>420</v>
      </c>
      <c r="AL454" s="42" t="s">
        <v>45</v>
      </c>
      <c r="AP454" s="43" t="str">
        <f t="shared" si="4"/>
        <v>REALIZADO</v>
      </c>
      <c r="AV454" s="44" t="s">
        <v>46</v>
      </c>
      <c r="AW454" s="45"/>
      <c r="AX454" s="35"/>
    </row>
    <row r="455">
      <c r="A455" s="24"/>
      <c r="B455" s="36" t="s">
        <v>41</v>
      </c>
      <c r="C455" s="37">
        <v>45832.0</v>
      </c>
      <c r="F455" s="38">
        <v>0.875</v>
      </c>
      <c r="I455" s="39" t="s">
        <v>1102</v>
      </c>
      <c r="S455" s="39" t="s">
        <v>687</v>
      </c>
      <c r="AE455" s="40">
        <v>0.041666666666666664</v>
      </c>
      <c r="AG455" s="39" t="s">
        <v>715</v>
      </c>
      <c r="AJ455" s="41" t="s">
        <v>439</v>
      </c>
      <c r="AL455" s="42" t="s">
        <v>53</v>
      </c>
      <c r="AP455" s="43" t="str">
        <f t="shared" si="4"/>
        <v>REALIZADO</v>
      </c>
      <c r="AV455" s="44" t="s">
        <v>46</v>
      </c>
      <c r="AW455" s="45"/>
      <c r="AX455" s="35"/>
    </row>
    <row r="456">
      <c r="A456" s="24"/>
      <c r="B456" s="36" t="s">
        <v>41</v>
      </c>
      <c r="C456" s="37">
        <v>45833.0</v>
      </c>
      <c r="F456" s="38">
        <v>0.4583333333333333</v>
      </c>
      <c r="I456" s="39" t="s">
        <v>1103</v>
      </c>
      <c r="S456" s="39" t="s">
        <v>687</v>
      </c>
      <c r="AE456" s="40">
        <v>0.041666666666666664</v>
      </c>
      <c r="AG456" s="39" t="s">
        <v>657</v>
      </c>
      <c r="AJ456" s="41" t="s">
        <v>429</v>
      </c>
      <c r="AL456" s="42" t="s">
        <v>557</v>
      </c>
      <c r="AP456" s="43" t="str">
        <f t="shared" si="4"/>
        <v>REALIZADO</v>
      </c>
      <c r="AV456" s="44" t="s">
        <v>46</v>
      </c>
      <c r="AW456" s="45"/>
      <c r="AX456" s="35"/>
    </row>
    <row r="457">
      <c r="A457" s="24"/>
      <c r="B457" s="36" t="s">
        <v>41</v>
      </c>
      <c r="C457" s="37">
        <v>45833.0</v>
      </c>
      <c r="F457" s="38">
        <v>0.7083333333333334</v>
      </c>
      <c r="I457" s="39" t="s">
        <v>1104</v>
      </c>
      <c r="S457" s="39" t="s">
        <v>687</v>
      </c>
      <c r="AE457" s="40">
        <v>0.041666666666666664</v>
      </c>
      <c r="AG457" s="39" t="s">
        <v>657</v>
      </c>
      <c r="AJ457" s="41" t="s">
        <v>451</v>
      </c>
      <c r="AL457" s="42" t="s">
        <v>557</v>
      </c>
      <c r="AP457" s="43" t="str">
        <f t="shared" si="4"/>
        <v>REALIZADO</v>
      </c>
      <c r="AV457" s="44" t="s">
        <v>46</v>
      </c>
      <c r="AW457" s="45"/>
      <c r="AX457" s="35"/>
    </row>
    <row r="458">
      <c r="A458" s="24"/>
      <c r="B458" s="36" t="s">
        <v>41</v>
      </c>
      <c r="C458" s="37">
        <v>45833.0</v>
      </c>
      <c r="F458" s="38">
        <v>0.7291666666666666</v>
      </c>
      <c r="I458" s="39" t="s">
        <v>1105</v>
      </c>
      <c r="S458" s="39" t="s">
        <v>687</v>
      </c>
      <c r="AE458" s="40">
        <v>0.041666666666666664</v>
      </c>
      <c r="AG458" s="39" t="s">
        <v>780</v>
      </c>
      <c r="AJ458" s="41" t="s">
        <v>447</v>
      </c>
      <c r="AL458" s="42" t="s">
        <v>53</v>
      </c>
      <c r="AP458" s="43" t="str">
        <f t="shared" si="4"/>
        <v>REALIZADO</v>
      </c>
      <c r="AV458" s="44" t="s">
        <v>46</v>
      </c>
      <c r="AW458" s="45"/>
      <c r="AX458" s="35"/>
    </row>
    <row r="459">
      <c r="A459" s="24"/>
      <c r="B459" s="36" t="s">
        <v>41</v>
      </c>
      <c r="C459" s="37">
        <v>45833.0</v>
      </c>
      <c r="F459" s="38">
        <v>0.4583333333333333</v>
      </c>
      <c r="I459" s="39" t="s">
        <v>1106</v>
      </c>
      <c r="S459" s="39" t="s">
        <v>687</v>
      </c>
      <c r="AE459" s="40">
        <v>0.041666666666666664</v>
      </c>
      <c r="AG459" s="39" t="s">
        <v>657</v>
      </c>
      <c r="AJ459" s="41" t="s">
        <v>455</v>
      </c>
      <c r="AL459" s="42" t="s">
        <v>56</v>
      </c>
      <c r="AP459" s="43" t="str">
        <f t="shared" si="4"/>
        <v>REALIZADO</v>
      </c>
      <c r="AV459" s="44" t="s">
        <v>46</v>
      </c>
      <c r="AW459" s="45"/>
      <c r="AX459" s="35"/>
    </row>
    <row r="460">
      <c r="A460" s="24"/>
      <c r="B460" s="36" t="s">
        <v>41</v>
      </c>
      <c r="C460" s="37">
        <v>45833.0</v>
      </c>
      <c r="F460" s="38">
        <v>0.7083333333333334</v>
      </c>
      <c r="I460" s="39" t="s">
        <v>1107</v>
      </c>
      <c r="S460" s="39" t="s">
        <v>687</v>
      </c>
      <c r="AE460" s="40">
        <v>0.041666666666666664</v>
      </c>
      <c r="AG460" s="39" t="s">
        <v>657</v>
      </c>
      <c r="AJ460" s="41" t="s">
        <v>460</v>
      </c>
      <c r="AL460" s="42" t="s">
        <v>45</v>
      </c>
      <c r="AP460" s="43" t="str">
        <f t="shared" si="4"/>
        <v>REALIZADO</v>
      </c>
      <c r="AV460" s="44" t="s">
        <v>46</v>
      </c>
      <c r="AW460" s="45"/>
      <c r="AX460" s="35"/>
    </row>
    <row r="461">
      <c r="A461" s="24"/>
      <c r="B461" s="36" t="s">
        <v>34</v>
      </c>
      <c r="C461" s="37">
        <v>45834.0</v>
      </c>
      <c r="F461" s="38">
        <v>0.4583333333333333</v>
      </c>
      <c r="I461" s="39" t="s">
        <v>1108</v>
      </c>
      <c r="S461" s="39" t="s">
        <v>1109</v>
      </c>
      <c r="AE461" s="40">
        <v>0.4131944444444444</v>
      </c>
      <c r="AG461" s="39" t="s">
        <v>1110</v>
      </c>
      <c r="AJ461" s="41" t="s">
        <v>470</v>
      </c>
      <c r="AL461" s="42" t="s">
        <v>53</v>
      </c>
      <c r="AP461" s="43" t="str">
        <f t="shared" si="4"/>
        <v>REALIZADO</v>
      </c>
      <c r="AV461" s="44" t="s">
        <v>46</v>
      </c>
      <c r="AW461" s="45"/>
      <c r="AX461" s="35"/>
    </row>
    <row r="462">
      <c r="A462" s="24"/>
      <c r="B462" s="36" t="s">
        <v>41</v>
      </c>
      <c r="C462" s="37">
        <v>45834.0</v>
      </c>
      <c r="F462" s="38">
        <v>0.8333333333333334</v>
      </c>
      <c r="I462" s="39" t="s">
        <v>1111</v>
      </c>
      <c r="S462" s="39" t="s">
        <v>268</v>
      </c>
      <c r="AE462" s="40">
        <v>0.027777777777777776</v>
      </c>
      <c r="AG462" s="39" t="s">
        <v>44</v>
      </c>
      <c r="AJ462" s="41" t="s">
        <v>466</v>
      </c>
      <c r="AL462" s="42" t="s">
        <v>45</v>
      </c>
      <c r="AP462" s="43" t="str">
        <f t="shared" si="4"/>
        <v>REALIZADO</v>
      </c>
      <c r="AV462" s="44" t="s">
        <v>46</v>
      </c>
      <c r="AW462" s="45"/>
      <c r="AX462" s="35"/>
    </row>
    <row r="463">
      <c r="A463" s="24"/>
      <c r="B463" s="36" t="s">
        <v>41</v>
      </c>
      <c r="C463" s="37">
        <v>45834.0</v>
      </c>
      <c r="F463" s="38">
        <v>0.5</v>
      </c>
      <c r="I463" s="39" t="s">
        <v>1112</v>
      </c>
      <c r="S463" s="39" t="s">
        <v>185</v>
      </c>
      <c r="AE463" s="40">
        <v>0.010416666666666666</v>
      </c>
      <c r="AG463" s="39" t="s">
        <v>44</v>
      </c>
      <c r="AJ463" s="41" t="s">
        <v>477</v>
      </c>
      <c r="AL463" s="42" t="s">
        <v>45</v>
      </c>
      <c r="AP463" s="43" t="str">
        <f t="shared" si="4"/>
        <v>REALIZADO</v>
      </c>
      <c r="AV463" s="44" t="s">
        <v>46</v>
      </c>
      <c r="AW463" s="45"/>
      <c r="AX463" s="35"/>
    </row>
    <row r="464">
      <c r="A464" s="24"/>
      <c r="B464" s="36" t="s">
        <v>41</v>
      </c>
      <c r="C464" s="37">
        <v>45834.0</v>
      </c>
      <c r="F464" s="38">
        <v>0.5208333333333334</v>
      </c>
      <c r="I464" s="39" t="s">
        <v>1113</v>
      </c>
      <c r="S464" s="39" t="s">
        <v>185</v>
      </c>
      <c r="AE464" s="40">
        <v>0.010416666666666666</v>
      </c>
      <c r="AG464" s="39" t="s">
        <v>44</v>
      </c>
      <c r="AJ464" s="41" t="s">
        <v>481</v>
      </c>
      <c r="AL464" s="42" t="s">
        <v>45</v>
      </c>
      <c r="AP464" s="43" t="str">
        <f t="shared" si="4"/>
        <v>REALIZADO</v>
      </c>
      <c r="AV464" s="44" t="s">
        <v>46</v>
      </c>
      <c r="AW464" s="45"/>
      <c r="AX464" s="35"/>
    </row>
    <row r="465">
      <c r="A465" s="24"/>
      <c r="B465" s="36" t="s">
        <v>41</v>
      </c>
      <c r="C465" s="37">
        <v>45835.0</v>
      </c>
      <c r="F465" s="38">
        <v>0.5</v>
      </c>
      <c r="I465" s="39" t="s">
        <v>1114</v>
      </c>
      <c r="S465" s="39" t="s">
        <v>1115</v>
      </c>
      <c r="AE465" s="40">
        <v>0.041666666666666664</v>
      </c>
      <c r="AG465" s="39" t="s">
        <v>657</v>
      </c>
      <c r="AJ465" s="41" t="s">
        <v>473</v>
      </c>
      <c r="AL465" s="42" t="s">
        <v>68</v>
      </c>
      <c r="AP465" s="43" t="str">
        <f t="shared" si="4"/>
        <v>REALIZADO</v>
      </c>
      <c r="AV465" s="44" t="s">
        <v>46</v>
      </c>
      <c r="AW465" s="45"/>
      <c r="AX465" s="35"/>
    </row>
    <row r="466">
      <c r="A466" s="24"/>
      <c r="B466" s="36" t="s">
        <v>34</v>
      </c>
      <c r="C466" s="37">
        <v>45837.0</v>
      </c>
      <c r="F466" s="38">
        <v>0.4583333333333333</v>
      </c>
      <c r="I466" s="39" t="s">
        <v>1116</v>
      </c>
      <c r="S466" s="39" t="s">
        <v>1117</v>
      </c>
      <c r="AE466" s="40">
        <v>0.4444444444444444</v>
      </c>
      <c r="AG466" s="39" t="s">
        <v>1118</v>
      </c>
      <c r="AJ466" s="41" t="s">
        <v>498</v>
      </c>
      <c r="AL466" s="42" t="s">
        <v>53</v>
      </c>
      <c r="AP466" s="43" t="str">
        <f t="shared" si="4"/>
        <v>REALIZADO</v>
      </c>
      <c r="AV466" s="44" t="s">
        <v>46</v>
      </c>
      <c r="AW466" s="45"/>
      <c r="AX466" s="35"/>
    </row>
    <row r="467">
      <c r="A467" s="24"/>
      <c r="B467" s="36" t="s">
        <v>34</v>
      </c>
      <c r="C467" s="37">
        <v>45838.0</v>
      </c>
      <c r="F467" s="38">
        <v>0.4166666666666667</v>
      </c>
      <c r="I467" s="39" t="s">
        <v>1119</v>
      </c>
      <c r="S467" s="39" t="s">
        <v>807</v>
      </c>
      <c r="AE467" s="40">
        <v>0.2777777777777778</v>
      </c>
      <c r="AG467" s="39" t="s">
        <v>1120</v>
      </c>
      <c r="AJ467" s="41" t="s">
        <v>499</v>
      </c>
      <c r="AL467" s="42" t="s">
        <v>45</v>
      </c>
      <c r="AP467" s="43" t="str">
        <f t="shared" si="4"/>
        <v>REALIZADO</v>
      </c>
      <c r="AV467" s="44" t="s">
        <v>46</v>
      </c>
      <c r="AW467" s="45"/>
      <c r="AX467" s="35"/>
    </row>
    <row r="468">
      <c r="A468" s="24"/>
      <c r="B468" s="36" t="s">
        <v>34</v>
      </c>
      <c r="C468" s="37">
        <v>45839.0</v>
      </c>
      <c r="F468" s="38">
        <v>0.4583333333333333</v>
      </c>
      <c r="I468" s="39" t="s">
        <v>1121</v>
      </c>
      <c r="S468" s="39" t="s">
        <v>1122</v>
      </c>
      <c r="AE468" s="40">
        <v>0.4548611111111111</v>
      </c>
      <c r="AG468" s="39" t="s">
        <v>1123</v>
      </c>
      <c r="AJ468" s="41" t="s">
        <v>511</v>
      </c>
      <c r="AL468" s="42" t="s">
        <v>56</v>
      </c>
      <c r="AP468" s="43" t="str">
        <f t="shared" si="4"/>
        <v>REALIZADO</v>
      </c>
      <c r="AV468" s="44" t="s">
        <v>46</v>
      </c>
      <c r="AW468" s="45"/>
      <c r="AX468" s="35"/>
    </row>
    <row r="469">
      <c r="A469" s="24"/>
      <c r="B469" s="36" t="s">
        <v>41</v>
      </c>
      <c r="C469" s="37">
        <v>45839.0</v>
      </c>
      <c r="F469" s="38">
        <v>0.5</v>
      </c>
      <c r="I469" s="39" t="s">
        <v>1124</v>
      </c>
      <c r="S469" s="39" t="s">
        <v>66</v>
      </c>
      <c r="AE469" s="40">
        <v>0.041666666666666664</v>
      </c>
      <c r="AG469" s="39" t="s">
        <v>918</v>
      </c>
      <c r="AJ469" s="41" t="s">
        <v>488</v>
      </c>
      <c r="AL469" s="42" t="s">
        <v>82</v>
      </c>
      <c r="AP469" s="43" t="str">
        <f t="shared" si="4"/>
        <v>REALIZADO</v>
      </c>
      <c r="AV469" s="44" t="s">
        <v>46</v>
      </c>
      <c r="AW469" s="45"/>
      <c r="AX469" s="35"/>
    </row>
    <row r="470">
      <c r="A470" s="24"/>
      <c r="B470" s="36" t="s">
        <v>34</v>
      </c>
      <c r="C470" s="37">
        <v>45839.0</v>
      </c>
      <c r="F470" s="38">
        <v>0.875</v>
      </c>
      <c r="I470" s="39" t="s">
        <v>1125</v>
      </c>
      <c r="S470" s="39" t="s">
        <v>1126</v>
      </c>
      <c r="AE470" s="40">
        <v>0.2465277777777778</v>
      </c>
      <c r="AG470" s="39" t="s">
        <v>1127</v>
      </c>
      <c r="AJ470" s="41" t="s">
        <v>505</v>
      </c>
      <c r="AL470" s="42" t="s">
        <v>82</v>
      </c>
      <c r="AP470" s="43" t="str">
        <f t="shared" si="4"/>
        <v>REALIZADO</v>
      </c>
      <c r="AV470" s="44" t="s">
        <v>46</v>
      </c>
      <c r="AW470" s="45"/>
      <c r="AX470" s="35"/>
    </row>
    <row r="471">
      <c r="A471" s="24"/>
      <c r="B471" s="36" t="s">
        <v>41</v>
      </c>
      <c r="C471" s="37">
        <v>45839.0</v>
      </c>
      <c r="F471" s="38">
        <v>0.7083333333333334</v>
      </c>
      <c r="I471" s="39" t="s">
        <v>1128</v>
      </c>
      <c r="S471" s="39" t="s">
        <v>1077</v>
      </c>
      <c r="AE471" s="40">
        <v>0.0625</v>
      </c>
      <c r="AG471" s="39" t="s">
        <v>652</v>
      </c>
      <c r="AJ471" s="41" t="s">
        <v>44</v>
      </c>
      <c r="AL471" s="42" t="s">
        <v>53</v>
      </c>
      <c r="AP471" s="43" t="str">
        <f t="shared" si="4"/>
        <v>ABORTIVA</v>
      </c>
      <c r="AV471" s="44" t="s">
        <v>713</v>
      </c>
      <c r="AW471" s="45"/>
      <c r="AX471" s="35"/>
    </row>
    <row r="472">
      <c r="A472" s="24"/>
      <c r="B472" s="36" t="s">
        <v>34</v>
      </c>
      <c r="C472" s="37">
        <v>45840.0</v>
      </c>
      <c r="F472" s="38">
        <v>0.7222222222222222</v>
      </c>
      <c r="I472" s="39" t="s">
        <v>1129</v>
      </c>
      <c r="S472" s="39" t="s">
        <v>263</v>
      </c>
      <c r="AE472" s="40">
        <v>0.13194444444444445</v>
      </c>
      <c r="AG472" s="39" t="s">
        <v>1130</v>
      </c>
      <c r="AJ472" s="41" t="s">
        <v>1131</v>
      </c>
      <c r="AL472" s="42" t="s">
        <v>45</v>
      </c>
      <c r="AP472" s="43" t="str">
        <f t="shared" si="4"/>
        <v>REALIZADO</v>
      </c>
      <c r="AV472" s="44" t="s">
        <v>46</v>
      </c>
      <c r="AW472" s="45"/>
      <c r="AX472" s="35"/>
    </row>
    <row r="473">
      <c r="A473" s="24"/>
      <c r="B473" s="36" t="s">
        <v>41</v>
      </c>
      <c r="C473" s="37">
        <v>45840.0</v>
      </c>
      <c r="F473" s="38">
        <v>0.8333333333333334</v>
      </c>
      <c r="I473" s="39" t="s">
        <v>1132</v>
      </c>
      <c r="S473" s="39" t="s">
        <v>268</v>
      </c>
      <c r="AE473" s="40">
        <v>0.041666666666666664</v>
      </c>
      <c r="AG473" s="39" t="s">
        <v>1133</v>
      </c>
      <c r="AJ473" s="41" t="s">
        <v>44</v>
      </c>
      <c r="AL473" s="42" t="s">
        <v>56</v>
      </c>
      <c r="AP473" s="43" t="str">
        <f t="shared" si="4"/>
        <v>ABORTIVA</v>
      </c>
      <c r="AV473" s="44" t="s">
        <v>713</v>
      </c>
      <c r="AW473" s="45"/>
      <c r="AX473" s="35"/>
    </row>
    <row r="474">
      <c r="A474" s="24"/>
      <c r="B474" s="36" t="s">
        <v>34</v>
      </c>
      <c r="C474" s="37">
        <v>45842.0</v>
      </c>
      <c r="F474" s="38">
        <v>0.3125</v>
      </c>
      <c r="I474" s="39" t="s">
        <v>1134</v>
      </c>
      <c r="S474" s="39" t="s">
        <v>1135</v>
      </c>
      <c r="AE474" s="40">
        <v>0.20833333333333334</v>
      </c>
      <c r="AG474" s="39" t="s">
        <v>1136</v>
      </c>
      <c r="AJ474" s="41" t="s">
        <v>1137</v>
      </c>
      <c r="AL474" s="42" t="s">
        <v>56</v>
      </c>
      <c r="AP474" s="43" t="str">
        <f t="shared" si="4"/>
        <v>REALIZADO</v>
      </c>
      <c r="AV474" s="44" t="s">
        <v>46</v>
      </c>
      <c r="AW474" s="45"/>
      <c r="AX474" s="35"/>
    </row>
    <row r="475">
      <c r="A475" s="24"/>
      <c r="B475" s="36" t="s">
        <v>41</v>
      </c>
      <c r="C475" s="37">
        <v>45842.0</v>
      </c>
      <c r="F475" s="38">
        <v>0.5833333333333334</v>
      </c>
      <c r="I475" s="39" t="s">
        <v>1138</v>
      </c>
      <c r="S475" s="39" t="s">
        <v>268</v>
      </c>
      <c r="AE475" s="40">
        <v>0.041666666666666664</v>
      </c>
      <c r="AG475" s="39" t="s">
        <v>1133</v>
      </c>
      <c r="AJ475" s="41" t="s">
        <v>44</v>
      </c>
      <c r="AL475" s="42" t="s">
        <v>56</v>
      </c>
      <c r="AP475" s="43" t="str">
        <f t="shared" si="4"/>
        <v>ABORTIVA</v>
      </c>
      <c r="AV475" s="44" t="s">
        <v>743</v>
      </c>
      <c r="AW475" s="45"/>
      <c r="AX475" s="35"/>
    </row>
    <row r="476">
      <c r="A476" s="24"/>
      <c r="B476" s="36" t="s">
        <v>34</v>
      </c>
      <c r="C476" s="37">
        <v>45842.0</v>
      </c>
      <c r="F476" s="38">
        <v>0.6666666666666666</v>
      </c>
      <c r="I476" s="39" t="s">
        <v>1139</v>
      </c>
      <c r="S476" s="39" t="s">
        <v>1140</v>
      </c>
      <c r="AE476" s="40">
        <v>0.2881944444444444</v>
      </c>
      <c r="AG476" s="39" t="s">
        <v>1141</v>
      </c>
      <c r="AJ476" s="41" t="s">
        <v>1142</v>
      </c>
      <c r="AL476" s="42" t="s">
        <v>45</v>
      </c>
      <c r="AP476" s="43" t="str">
        <f t="shared" si="4"/>
        <v>REALIZADO</v>
      </c>
      <c r="AV476" s="44" t="s">
        <v>46</v>
      </c>
      <c r="AW476" s="45"/>
      <c r="AX476" s="35"/>
    </row>
    <row r="477">
      <c r="A477" s="24"/>
      <c r="B477" s="36" t="s">
        <v>41</v>
      </c>
      <c r="C477" s="37">
        <v>45842.0</v>
      </c>
      <c r="F477" s="38">
        <v>0.75</v>
      </c>
      <c r="I477" s="39" t="s">
        <v>1143</v>
      </c>
      <c r="S477" s="39" t="s">
        <v>1077</v>
      </c>
      <c r="AE477" s="40">
        <v>0.0625</v>
      </c>
      <c r="AG477" s="39" t="s">
        <v>652</v>
      </c>
      <c r="AJ477" s="41" t="s">
        <v>509</v>
      </c>
      <c r="AL477" s="42" t="s">
        <v>53</v>
      </c>
      <c r="AP477" s="43" t="str">
        <f t="shared" si="4"/>
        <v>REALIZADO</v>
      </c>
      <c r="AV477" s="44" t="s">
        <v>46</v>
      </c>
      <c r="AW477" s="45"/>
      <c r="AX477" s="35"/>
    </row>
    <row r="478">
      <c r="A478" s="24"/>
      <c r="B478" s="36" t="s">
        <v>41</v>
      </c>
      <c r="C478" s="37">
        <v>45843.0</v>
      </c>
      <c r="F478" s="38">
        <v>0.5</v>
      </c>
      <c r="I478" s="39" t="s">
        <v>1144</v>
      </c>
      <c r="S478" s="39" t="s">
        <v>1145</v>
      </c>
      <c r="AE478" s="40">
        <v>0.0625</v>
      </c>
      <c r="AG478" s="39" t="s">
        <v>682</v>
      </c>
      <c r="AJ478" s="41" t="s">
        <v>1146</v>
      </c>
      <c r="AL478" s="42" t="s">
        <v>53</v>
      </c>
      <c r="AP478" s="43" t="str">
        <f t="shared" si="4"/>
        <v>REALIZADO</v>
      </c>
      <c r="AV478" s="44" t="s">
        <v>46</v>
      </c>
      <c r="AW478" s="45"/>
      <c r="AX478" s="35"/>
    </row>
    <row r="479">
      <c r="A479" s="24"/>
      <c r="B479" s="36" t="s">
        <v>41</v>
      </c>
      <c r="C479" s="37">
        <v>45844.0</v>
      </c>
      <c r="F479" s="38">
        <v>0.8472222222222222</v>
      </c>
      <c r="I479" s="39" t="s">
        <v>1147</v>
      </c>
      <c r="S479" s="39" t="s">
        <v>711</v>
      </c>
      <c r="AE479" s="40">
        <v>0.041666666666666664</v>
      </c>
      <c r="AG479" s="39" t="s">
        <v>715</v>
      </c>
      <c r="AJ479" s="41" t="s">
        <v>1148</v>
      </c>
      <c r="AL479" s="42" t="s">
        <v>53</v>
      </c>
      <c r="AP479" s="43" t="str">
        <f t="shared" si="4"/>
        <v>ABORTIVA</v>
      </c>
      <c r="AV479" s="44" t="s">
        <v>105</v>
      </c>
      <c r="AW479" s="45"/>
      <c r="AX479" s="35"/>
    </row>
    <row r="480">
      <c r="A480" s="24"/>
      <c r="B480" s="36" t="s">
        <v>34</v>
      </c>
      <c r="C480" s="37">
        <v>45845.0</v>
      </c>
      <c r="F480" s="38">
        <v>0.5</v>
      </c>
      <c r="I480" s="39" t="s">
        <v>1149</v>
      </c>
      <c r="S480" s="39" t="s">
        <v>89</v>
      </c>
      <c r="AE480" s="40">
        <v>0.2465277777777778</v>
      </c>
      <c r="AG480" s="39" t="s">
        <v>1150</v>
      </c>
      <c r="AJ480" s="41" t="s">
        <v>1151</v>
      </c>
      <c r="AL480" s="42" t="s">
        <v>45</v>
      </c>
      <c r="AP480" s="43" t="str">
        <f t="shared" si="4"/>
        <v>REALIZADO</v>
      </c>
      <c r="AV480" s="44" t="s">
        <v>46</v>
      </c>
      <c r="AW480" s="45"/>
      <c r="AX480" s="35"/>
    </row>
    <row r="481">
      <c r="A481" s="24"/>
      <c r="B481" s="36" t="s">
        <v>41</v>
      </c>
      <c r="C481" s="37">
        <v>45845.0</v>
      </c>
      <c r="F481" s="38">
        <v>0.7083333333333334</v>
      </c>
      <c r="I481" s="39" t="s">
        <v>1152</v>
      </c>
      <c r="S481" s="39" t="s">
        <v>414</v>
      </c>
      <c r="AE481" s="40">
        <v>0.08333333333333333</v>
      </c>
      <c r="AG481" s="39" t="s">
        <v>703</v>
      </c>
      <c r="AJ481" s="41" t="s">
        <v>44</v>
      </c>
      <c r="AL481" s="42" t="s">
        <v>414</v>
      </c>
      <c r="AP481" s="43" t="str">
        <f t="shared" si="4"/>
        <v>REALIZADO</v>
      </c>
      <c r="AV481" s="44" t="s">
        <v>46</v>
      </c>
      <c r="AW481" s="45"/>
      <c r="AX481" s="35"/>
    </row>
    <row r="482">
      <c r="A482" s="24"/>
      <c r="B482" s="36" t="s">
        <v>41</v>
      </c>
      <c r="C482" s="37">
        <v>45845.0</v>
      </c>
      <c r="F482" s="38">
        <v>0.8472222222222222</v>
      </c>
      <c r="I482" s="39" t="s">
        <v>1153</v>
      </c>
      <c r="S482" s="39" t="s">
        <v>711</v>
      </c>
      <c r="AE482" s="40">
        <v>0.041666666666666664</v>
      </c>
      <c r="AG482" s="39" t="s">
        <v>715</v>
      </c>
      <c r="AJ482" s="41" t="s">
        <v>1148</v>
      </c>
      <c r="AL482" s="42" t="s">
        <v>53</v>
      </c>
      <c r="AP482" s="43" t="str">
        <f t="shared" si="4"/>
        <v>REALIZADO</v>
      </c>
      <c r="AV482" s="44" t="s">
        <v>46</v>
      </c>
      <c r="AW482" s="45"/>
      <c r="AX482" s="35"/>
    </row>
    <row r="483">
      <c r="A483" s="24"/>
      <c r="B483" s="36" t="s">
        <v>41</v>
      </c>
      <c r="C483" s="37">
        <v>45846.0</v>
      </c>
      <c r="F483" s="38">
        <v>0.8333333333333334</v>
      </c>
      <c r="I483" s="39" t="s">
        <v>1154</v>
      </c>
      <c r="S483" s="39" t="s">
        <v>268</v>
      </c>
      <c r="AE483" s="40">
        <v>0.041666666666666664</v>
      </c>
      <c r="AG483" s="39" t="s">
        <v>1133</v>
      </c>
      <c r="AJ483" s="41" t="s">
        <v>44</v>
      </c>
      <c r="AL483" s="42" t="s">
        <v>45</v>
      </c>
      <c r="AP483" s="43" t="str">
        <f t="shared" si="4"/>
        <v>ABORTIVA</v>
      </c>
      <c r="AV483" s="44" t="s">
        <v>743</v>
      </c>
      <c r="AW483" s="45"/>
      <c r="AX483" s="35"/>
    </row>
    <row r="484">
      <c r="A484" s="24"/>
      <c r="B484" s="36" t="s">
        <v>41</v>
      </c>
      <c r="C484" s="37">
        <v>45847.0</v>
      </c>
      <c r="F484" s="38">
        <v>0.8333333333333334</v>
      </c>
      <c r="I484" s="39" t="s">
        <v>642</v>
      </c>
      <c r="S484" s="39" t="s">
        <v>268</v>
      </c>
      <c r="AE484" s="40">
        <v>0.041666666666666664</v>
      </c>
      <c r="AG484" s="39" t="s">
        <v>1133</v>
      </c>
      <c r="AJ484" s="41" t="s">
        <v>44</v>
      </c>
      <c r="AL484" s="42" t="s">
        <v>45</v>
      </c>
      <c r="AP484" s="43" t="str">
        <f t="shared" si="4"/>
        <v>ABORTIVA</v>
      </c>
      <c r="AV484" s="44" t="s">
        <v>713</v>
      </c>
      <c r="AW484" s="45"/>
      <c r="AX484" s="35"/>
    </row>
    <row r="485">
      <c r="A485" s="24"/>
      <c r="B485" s="36" t="s">
        <v>34</v>
      </c>
      <c r="C485" s="37">
        <v>45848.0</v>
      </c>
      <c r="F485" s="38">
        <v>0.4583333333333333</v>
      </c>
      <c r="I485" s="39" t="s">
        <v>1155</v>
      </c>
      <c r="S485" s="39" t="s">
        <v>1156</v>
      </c>
      <c r="AE485" s="40">
        <v>0.5069444444444444</v>
      </c>
      <c r="AG485" s="39" t="s">
        <v>1157</v>
      </c>
      <c r="AJ485" s="41" t="s">
        <v>1158</v>
      </c>
      <c r="AL485" s="42" t="s">
        <v>45</v>
      </c>
      <c r="AP485" s="43" t="str">
        <f t="shared" si="4"/>
        <v>REALIZADO</v>
      </c>
      <c r="AV485" s="44" t="s">
        <v>46</v>
      </c>
      <c r="AW485" s="45"/>
      <c r="AX485" s="35"/>
    </row>
    <row r="486">
      <c r="A486" s="24"/>
      <c r="B486" s="36" t="s">
        <v>34</v>
      </c>
      <c r="C486" s="37">
        <v>45849.0</v>
      </c>
      <c r="F486" s="38">
        <v>0.4583333333333333</v>
      </c>
      <c r="I486" s="39" t="s">
        <v>1159</v>
      </c>
      <c r="S486" s="39" t="s">
        <v>1160</v>
      </c>
      <c r="AE486" s="40">
        <v>0.2847222222222222</v>
      </c>
      <c r="AG486" s="39" t="s">
        <v>1161</v>
      </c>
      <c r="AJ486" s="41" t="s">
        <v>1162</v>
      </c>
      <c r="AL486" s="42" t="s">
        <v>53</v>
      </c>
      <c r="AP486" s="43" t="str">
        <f t="shared" si="4"/>
        <v>REALIZADO</v>
      </c>
      <c r="AV486" s="44" t="s">
        <v>46</v>
      </c>
      <c r="AW486" s="45"/>
      <c r="AX486" s="35"/>
    </row>
    <row r="487">
      <c r="A487" s="24"/>
      <c r="B487" s="36" t="s">
        <v>34</v>
      </c>
      <c r="C487" s="37">
        <v>45849.0</v>
      </c>
      <c r="F487" s="38">
        <v>0.5833333333333334</v>
      </c>
      <c r="I487" s="39" t="s">
        <v>1163</v>
      </c>
      <c r="S487" s="39" t="s">
        <v>543</v>
      </c>
      <c r="AE487" s="40">
        <v>0.5694444444444444</v>
      </c>
      <c r="AG487" s="39" t="s">
        <v>1164</v>
      </c>
      <c r="AJ487" s="41" t="s">
        <v>1165</v>
      </c>
      <c r="AL487" s="42" t="s">
        <v>56</v>
      </c>
      <c r="AP487" s="43" t="str">
        <f t="shared" si="4"/>
        <v>REALIZADO</v>
      </c>
      <c r="AV487" s="44" t="s">
        <v>46</v>
      </c>
      <c r="AW487" s="45"/>
      <c r="AX487" s="35"/>
    </row>
    <row r="488">
      <c r="A488" s="24"/>
      <c r="B488" s="36" t="s">
        <v>34</v>
      </c>
      <c r="C488" s="37">
        <v>45850.0</v>
      </c>
      <c r="F488" s="38">
        <v>0.5</v>
      </c>
      <c r="I488" s="39" t="s">
        <v>1166</v>
      </c>
      <c r="S488" s="39" t="s">
        <v>1167</v>
      </c>
      <c r="AE488" s="40">
        <v>0.4270833333333333</v>
      </c>
      <c r="AG488" s="39" t="s">
        <v>1168</v>
      </c>
      <c r="AJ488" s="41" t="s">
        <v>1169</v>
      </c>
      <c r="AL488" s="42" t="s">
        <v>53</v>
      </c>
      <c r="AP488" s="43" t="str">
        <f t="shared" si="4"/>
        <v>REALIZADO</v>
      </c>
      <c r="AV488" s="44" t="s">
        <v>46</v>
      </c>
      <c r="AW488" s="45"/>
      <c r="AX488" s="35"/>
    </row>
    <row r="489">
      <c r="A489" s="24"/>
      <c r="B489" s="36" t="s">
        <v>34</v>
      </c>
      <c r="C489" s="37">
        <v>45850.0</v>
      </c>
      <c r="F489" s="38">
        <v>0.8854166666666666</v>
      </c>
      <c r="I489" s="39" t="s">
        <v>1170</v>
      </c>
      <c r="S489" s="39" t="s">
        <v>1171</v>
      </c>
      <c r="AE489" s="40">
        <v>0.3333333333333333</v>
      </c>
      <c r="AG489" s="39" t="s">
        <v>1172</v>
      </c>
      <c r="AJ489" s="41" t="s">
        <v>1173</v>
      </c>
      <c r="AL489" s="42" t="s">
        <v>45</v>
      </c>
      <c r="AP489" s="43" t="str">
        <f t="shared" si="4"/>
        <v>REALIZADO</v>
      </c>
      <c r="AV489" s="44" t="s">
        <v>46</v>
      </c>
      <c r="AW489" s="45"/>
      <c r="AX489" s="35"/>
    </row>
    <row r="490">
      <c r="A490" s="24"/>
      <c r="B490" s="36" t="s">
        <v>34</v>
      </c>
      <c r="C490" s="37">
        <v>45852.0</v>
      </c>
      <c r="F490" s="38">
        <v>0.2708333333333333</v>
      </c>
      <c r="I490" s="39" t="s">
        <v>1174</v>
      </c>
      <c r="S490" s="39" t="s">
        <v>1175</v>
      </c>
      <c r="AE490" s="40">
        <v>0.2013888888888889</v>
      </c>
      <c r="AG490" s="39" t="s">
        <v>1176</v>
      </c>
      <c r="AJ490" s="41" t="s">
        <v>1177</v>
      </c>
      <c r="AL490" s="42" t="s">
        <v>56</v>
      </c>
      <c r="AP490" s="43" t="str">
        <f t="shared" si="4"/>
        <v>REALIZADO</v>
      </c>
      <c r="AV490" s="44" t="s">
        <v>46</v>
      </c>
      <c r="AW490" s="45"/>
      <c r="AX490" s="35"/>
    </row>
    <row r="491">
      <c r="A491" s="24"/>
      <c r="B491" s="36" t="s">
        <v>34</v>
      </c>
      <c r="C491" s="37">
        <v>45852.0</v>
      </c>
      <c r="F491" s="38">
        <v>0.4583333333333333</v>
      </c>
      <c r="I491" s="39" t="s">
        <v>1178</v>
      </c>
      <c r="S491" s="39" t="s">
        <v>1179</v>
      </c>
      <c r="AE491" s="40">
        <v>0.40625</v>
      </c>
      <c r="AG491" s="39" t="s">
        <v>1180</v>
      </c>
      <c r="AJ491" s="41" t="s">
        <v>1181</v>
      </c>
      <c r="AL491" s="42" t="s">
        <v>45</v>
      </c>
      <c r="AP491" s="43" t="str">
        <f t="shared" si="4"/>
        <v>REALIZADO</v>
      </c>
      <c r="AV491" s="44" t="s">
        <v>46</v>
      </c>
      <c r="AW491" s="45"/>
      <c r="AX491" s="35"/>
    </row>
    <row r="492">
      <c r="A492" s="24"/>
      <c r="B492" s="36" t="s">
        <v>34</v>
      </c>
      <c r="C492" s="37">
        <v>45853.0</v>
      </c>
      <c r="F492" s="38">
        <v>0.3125</v>
      </c>
      <c r="I492" s="39" t="s">
        <v>1182</v>
      </c>
      <c r="S492" s="39" t="s">
        <v>1175</v>
      </c>
      <c r="AE492" s="40">
        <v>0.2013888888888889</v>
      </c>
      <c r="AG492" s="39" t="s">
        <v>1183</v>
      </c>
      <c r="AJ492" s="41" t="s">
        <v>1184</v>
      </c>
      <c r="AL492" s="42" t="s">
        <v>56</v>
      </c>
      <c r="AP492" s="43" t="str">
        <f t="shared" si="4"/>
        <v>REALIZADO</v>
      </c>
      <c r="AV492" s="44" t="s">
        <v>46</v>
      </c>
      <c r="AW492" s="45"/>
      <c r="AX492" s="35"/>
    </row>
    <row r="493">
      <c r="A493" s="24"/>
      <c r="B493" s="36" t="s">
        <v>34</v>
      </c>
      <c r="C493" s="37">
        <v>45854.0</v>
      </c>
      <c r="F493" s="38">
        <v>0.5</v>
      </c>
      <c r="I493" s="39" t="s">
        <v>1185</v>
      </c>
      <c r="S493" s="39" t="s">
        <v>1186</v>
      </c>
      <c r="AE493" s="40">
        <v>0.2569444444444444</v>
      </c>
      <c r="AG493" s="39" t="s">
        <v>1187</v>
      </c>
      <c r="AJ493" s="41" t="s">
        <v>1188</v>
      </c>
      <c r="AL493" s="42" t="s">
        <v>53</v>
      </c>
      <c r="AP493" s="43" t="str">
        <f t="shared" si="4"/>
        <v>REALIZADO</v>
      </c>
      <c r="AV493" s="44" t="s">
        <v>46</v>
      </c>
      <c r="AW493" s="45"/>
      <c r="AX493" s="35"/>
    </row>
    <row r="494">
      <c r="A494" s="24"/>
      <c r="B494" s="36" t="s">
        <v>34</v>
      </c>
      <c r="C494" s="37">
        <v>45855.0</v>
      </c>
      <c r="F494" s="38">
        <v>0.5</v>
      </c>
      <c r="I494" s="39" t="s">
        <v>1189</v>
      </c>
      <c r="S494" s="39" t="s">
        <v>1190</v>
      </c>
      <c r="AE494" s="40">
        <v>0.2569444444444444</v>
      </c>
      <c r="AG494" s="39" t="s">
        <v>1191</v>
      </c>
      <c r="AJ494" s="41" t="s">
        <v>44</v>
      </c>
      <c r="AL494" s="42" t="s">
        <v>56</v>
      </c>
      <c r="AP494" s="43" t="str">
        <f t="shared" si="4"/>
        <v>ABORTIVA</v>
      </c>
      <c r="AV494" s="44" t="s">
        <v>69</v>
      </c>
      <c r="AW494" s="45"/>
      <c r="AX494" s="35"/>
    </row>
    <row r="495">
      <c r="A495" s="24"/>
      <c r="B495" s="36" t="s">
        <v>34</v>
      </c>
      <c r="C495" s="37">
        <v>45857.0</v>
      </c>
      <c r="F495" s="38">
        <v>0.5</v>
      </c>
      <c r="I495" s="39" t="s">
        <v>1192</v>
      </c>
      <c r="S495" s="39" t="s">
        <v>1193</v>
      </c>
      <c r="AE495" s="40">
        <v>0.7430555555555556</v>
      </c>
      <c r="AG495" s="39" t="s">
        <v>1194</v>
      </c>
      <c r="AJ495" s="41" t="s">
        <v>1195</v>
      </c>
      <c r="AL495" s="42" t="s">
        <v>45</v>
      </c>
      <c r="AP495" s="43" t="str">
        <f t="shared" si="4"/>
        <v>REALIZADO</v>
      </c>
      <c r="AV495" s="44" t="s">
        <v>46</v>
      </c>
      <c r="AW495" s="45"/>
      <c r="AX495" s="35"/>
    </row>
    <row r="496">
      <c r="A496" s="24"/>
      <c r="B496" s="36" t="s">
        <v>34</v>
      </c>
      <c r="C496" s="37">
        <v>45859.0</v>
      </c>
      <c r="F496" s="38">
        <v>0.78125</v>
      </c>
      <c r="I496" s="39" t="s">
        <v>1196</v>
      </c>
      <c r="S496" s="39" t="s">
        <v>255</v>
      </c>
      <c r="AE496" s="40">
        <v>0.1388888888888889</v>
      </c>
      <c r="AG496" s="39" t="s">
        <v>1194</v>
      </c>
      <c r="AJ496" s="41" t="s">
        <v>1195</v>
      </c>
      <c r="AL496" s="42" t="s">
        <v>45</v>
      </c>
      <c r="AP496" s="43" t="str">
        <f t="shared" si="4"/>
        <v>REALIZADO</v>
      </c>
      <c r="AV496" s="44" t="s">
        <v>46</v>
      </c>
      <c r="AW496" s="45"/>
      <c r="AX496" s="35"/>
    </row>
    <row r="497">
      <c r="A497" s="24"/>
      <c r="B497" s="36" t="s">
        <v>41</v>
      </c>
      <c r="C497" s="37">
        <v>45867.0</v>
      </c>
      <c r="F497" s="38">
        <v>0.5</v>
      </c>
      <c r="I497" s="39" t="s">
        <v>1197</v>
      </c>
      <c r="S497" s="39" t="s">
        <v>414</v>
      </c>
      <c r="AE497" s="40">
        <v>0.08333333333333333</v>
      </c>
      <c r="AG497" s="39" t="s">
        <v>703</v>
      </c>
      <c r="AJ497" s="41" t="s">
        <v>44</v>
      </c>
      <c r="AL497" s="42" t="s">
        <v>414</v>
      </c>
      <c r="AP497" s="43" t="str">
        <f t="shared" si="4"/>
        <v>REALIZADO</v>
      </c>
      <c r="AV497" s="44" t="s">
        <v>46</v>
      </c>
      <c r="AW497" s="45"/>
      <c r="AX497" s="35"/>
    </row>
    <row r="498">
      <c r="A498" s="24"/>
      <c r="B498" s="36" t="s">
        <v>41</v>
      </c>
      <c r="C498" s="37">
        <v>45867.0</v>
      </c>
      <c r="F498" s="38">
        <v>0.5208333333333334</v>
      </c>
      <c r="I498" s="39" t="s">
        <v>1198</v>
      </c>
      <c r="S498" s="39" t="s">
        <v>185</v>
      </c>
      <c r="AE498" s="40">
        <v>0.003472222222222222</v>
      </c>
      <c r="AG498" s="39" t="s">
        <v>657</v>
      </c>
      <c r="AJ498" s="41" t="s">
        <v>1199</v>
      </c>
      <c r="AL498" s="42" t="s">
        <v>557</v>
      </c>
      <c r="AP498" s="43" t="str">
        <f t="shared" si="4"/>
        <v>REALIZADO</v>
      </c>
      <c r="AV498" s="44" t="s">
        <v>46</v>
      </c>
      <c r="AW498" s="45"/>
      <c r="AX498" s="35"/>
    </row>
    <row r="499">
      <c r="A499" s="24"/>
      <c r="B499" s="36" t="s">
        <v>41</v>
      </c>
      <c r="C499" s="37">
        <v>45870.0</v>
      </c>
      <c r="F499" s="38">
        <v>0.5416666666666666</v>
      </c>
      <c r="I499" s="39" t="s">
        <v>1200</v>
      </c>
      <c r="S499" s="39" t="s">
        <v>414</v>
      </c>
      <c r="AE499" s="40">
        <v>0.08333333333333333</v>
      </c>
      <c r="AG499" s="39" t="s">
        <v>703</v>
      </c>
      <c r="AJ499" s="41" t="s">
        <v>44</v>
      </c>
      <c r="AL499" s="42" t="s">
        <v>414</v>
      </c>
      <c r="AP499" s="43" t="str">
        <f t="shared" si="4"/>
        <v>REALIZADO</v>
      </c>
      <c r="AV499" s="44" t="s">
        <v>46</v>
      </c>
      <c r="AW499" s="45"/>
      <c r="AX499" s="35"/>
    </row>
    <row r="500">
      <c r="A500" s="24"/>
      <c r="B500" s="36" t="s">
        <v>41</v>
      </c>
      <c r="C500" s="37">
        <v>45870.0</v>
      </c>
      <c r="F500" s="38">
        <v>0.5625</v>
      </c>
      <c r="I500" s="39" t="s">
        <v>1201</v>
      </c>
      <c r="S500" s="39" t="s">
        <v>66</v>
      </c>
      <c r="AE500" s="40">
        <v>0.041666666666666664</v>
      </c>
      <c r="AG500" s="39" t="s">
        <v>67</v>
      </c>
      <c r="AJ500" s="41" t="s">
        <v>388</v>
      </c>
      <c r="AL500" s="42" t="s">
        <v>45</v>
      </c>
      <c r="AP500" s="43" t="str">
        <f t="shared" si="4"/>
        <v>REALIZADO</v>
      </c>
      <c r="AV500" s="44" t="s">
        <v>46</v>
      </c>
      <c r="AW500" s="45"/>
      <c r="AX500" s="35"/>
    </row>
    <row r="501">
      <c r="A501" s="24"/>
      <c r="B501" s="36" t="s">
        <v>41</v>
      </c>
      <c r="C501" s="37">
        <v>45873.0</v>
      </c>
      <c r="F501" s="38">
        <v>0.7083333333333334</v>
      </c>
      <c r="I501" s="39" t="s">
        <v>1202</v>
      </c>
      <c r="S501" s="39" t="s">
        <v>185</v>
      </c>
      <c r="AE501" s="40">
        <v>0.003472222222222222</v>
      </c>
      <c r="AG501" s="39" t="s">
        <v>657</v>
      </c>
      <c r="AJ501" s="41" t="s">
        <v>1203</v>
      </c>
      <c r="AL501" s="42" t="s">
        <v>1204</v>
      </c>
      <c r="AP501" s="43" t="str">
        <f t="shared" si="4"/>
        <v>REALIZADO</v>
      </c>
      <c r="AV501" s="44" t="s">
        <v>46</v>
      </c>
      <c r="AW501" s="45"/>
      <c r="AX501" s="35"/>
    </row>
    <row r="502">
      <c r="A502" s="24"/>
      <c r="B502" s="36" t="s">
        <v>41</v>
      </c>
      <c r="C502" s="37">
        <v>45874.0</v>
      </c>
      <c r="F502" s="38">
        <v>0.7083333333333334</v>
      </c>
      <c r="I502" s="39" t="s">
        <v>1205</v>
      </c>
      <c r="S502" s="39" t="s">
        <v>268</v>
      </c>
      <c r="AE502" s="40">
        <v>0.041666666666666664</v>
      </c>
      <c r="AG502" s="39" t="s">
        <v>657</v>
      </c>
      <c r="AJ502" s="41" t="s">
        <v>1206</v>
      </c>
      <c r="AL502" s="42" t="s">
        <v>557</v>
      </c>
      <c r="AP502" s="43" t="str">
        <f t="shared" si="4"/>
        <v>REALIZADO</v>
      </c>
      <c r="AV502" s="44" t="s">
        <v>46</v>
      </c>
      <c r="AW502" s="45"/>
      <c r="AX502" s="35"/>
    </row>
    <row r="503">
      <c r="A503" s="24"/>
      <c r="B503" s="36" t="s">
        <v>34</v>
      </c>
      <c r="C503" s="37">
        <v>45875.0</v>
      </c>
      <c r="F503" s="38">
        <v>0.3125</v>
      </c>
      <c r="I503" s="39" t="s">
        <v>1207</v>
      </c>
      <c r="S503" s="39" t="s">
        <v>357</v>
      </c>
      <c r="AE503" s="40">
        <v>0.2777777777777778</v>
      </c>
      <c r="AG503" s="39" t="s">
        <v>1208</v>
      </c>
      <c r="AJ503" s="41" t="s">
        <v>1209</v>
      </c>
      <c r="AL503" s="42" t="s">
        <v>45</v>
      </c>
      <c r="AP503" s="43" t="str">
        <f t="shared" si="4"/>
        <v>REALIZADO</v>
      </c>
      <c r="AV503" s="44" t="s">
        <v>46</v>
      </c>
      <c r="AW503" s="45"/>
      <c r="AX503" s="35"/>
    </row>
    <row r="504">
      <c r="A504" s="24"/>
      <c r="B504" s="36" t="s">
        <v>41</v>
      </c>
      <c r="C504" s="37">
        <v>45876.0</v>
      </c>
      <c r="F504" s="38">
        <v>0.4791666666666667</v>
      </c>
      <c r="I504" s="39" t="s">
        <v>1210</v>
      </c>
      <c r="S504" s="39" t="s">
        <v>414</v>
      </c>
      <c r="AE504" s="40">
        <v>0.08333333333333333</v>
      </c>
      <c r="AG504" s="39" t="s">
        <v>703</v>
      </c>
      <c r="AJ504" s="41" t="s">
        <v>44</v>
      </c>
      <c r="AL504" s="42" t="s">
        <v>414</v>
      </c>
      <c r="AP504" s="43" t="str">
        <f t="shared" si="4"/>
        <v>REALIZADO</v>
      </c>
      <c r="AV504" s="44" t="s">
        <v>46</v>
      </c>
      <c r="AW504" s="45"/>
      <c r="AX504" s="35"/>
    </row>
    <row r="505">
      <c r="A505" s="24"/>
      <c r="B505" s="36" t="s">
        <v>41</v>
      </c>
      <c r="C505" s="37">
        <v>45881.0</v>
      </c>
      <c r="F505" s="38">
        <v>0.5208333333333334</v>
      </c>
      <c r="I505" s="39" t="s">
        <v>1211</v>
      </c>
      <c r="S505" s="39" t="s">
        <v>268</v>
      </c>
      <c r="AE505" s="40">
        <v>0.041666666666666664</v>
      </c>
      <c r="AG505" s="39" t="s">
        <v>657</v>
      </c>
      <c r="AJ505" s="60" t="s">
        <v>1212</v>
      </c>
      <c r="AL505" s="42" t="s">
        <v>259</v>
      </c>
      <c r="AP505" s="43" t="str">
        <f t="shared" si="4"/>
        <v>REALIZADO</v>
      </c>
      <c r="AV505" s="44" t="s">
        <v>46</v>
      </c>
      <c r="AW505" s="45"/>
      <c r="AX505" s="35"/>
    </row>
    <row r="506">
      <c r="A506" s="24"/>
      <c r="B506" s="36" t="s">
        <v>41</v>
      </c>
      <c r="C506" s="37">
        <v>45885.0</v>
      </c>
      <c r="F506" s="38">
        <v>0.7083333333333334</v>
      </c>
      <c r="I506" s="39" t="s">
        <v>1213</v>
      </c>
      <c r="S506" s="39" t="s">
        <v>711</v>
      </c>
      <c r="AE506" s="40">
        <v>0.03819444444444445</v>
      </c>
      <c r="AG506" s="39" t="s">
        <v>1214</v>
      </c>
      <c r="AJ506" s="60" t="s">
        <v>1215</v>
      </c>
      <c r="AL506" s="42" t="s">
        <v>53</v>
      </c>
      <c r="AP506" s="43" t="str">
        <f t="shared" si="4"/>
        <v>REALIZADO</v>
      </c>
      <c r="AV506" s="44" t="s">
        <v>46</v>
      </c>
      <c r="AW506" s="45"/>
      <c r="AX506" s="35"/>
    </row>
    <row r="507">
      <c r="A507" s="24"/>
      <c r="B507" s="36" t="s">
        <v>41</v>
      </c>
      <c r="C507" s="37">
        <v>45885.0</v>
      </c>
      <c r="F507" s="38">
        <v>0.75</v>
      </c>
      <c r="I507" s="39" t="s">
        <v>1216</v>
      </c>
      <c r="S507" s="39" t="s">
        <v>185</v>
      </c>
      <c r="AE507" s="40">
        <v>0.003472222222222222</v>
      </c>
      <c r="AG507" s="39" t="s">
        <v>657</v>
      </c>
      <c r="AJ507" s="60" t="s">
        <v>1217</v>
      </c>
      <c r="AL507" s="42" t="s">
        <v>53</v>
      </c>
      <c r="AP507" s="43" t="str">
        <f t="shared" si="4"/>
        <v>REALIZADO</v>
      </c>
      <c r="AV507" s="44" t="s">
        <v>46</v>
      </c>
      <c r="AW507" s="45"/>
      <c r="AX507" s="35"/>
    </row>
    <row r="508">
      <c r="A508" s="24"/>
      <c r="B508" s="36" t="s">
        <v>34</v>
      </c>
      <c r="C508" s="37">
        <v>45887.0</v>
      </c>
      <c r="F508" s="38">
        <v>0.9444444444444444</v>
      </c>
      <c r="I508" s="39" t="s">
        <v>1218</v>
      </c>
      <c r="S508" s="39" t="s">
        <v>357</v>
      </c>
      <c r="AE508" s="40">
        <v>0.2777777777777778</v>
      </c>
      <c r="AG508" s="39" t="s">
        <v>1219</v>
      </c>
      <c r="AJ508" s="41" t="s">
        <v>1220</v>
      </c>
      <c r="AL508" s="42" t="s">
        <v>45</v>
      </c>
      <c r="AP508" s="43" t="str">
        <f t="shared" si="4"/>
        <v>REALIZADO</v>
      </c>
      <c r="AV508" s="44" t="s">
        <v>46</v>
      </c>
      <c r="AW508" s="45"/>
      <c r="AX508" s="35"/>
    </row>
    <row r="509">
      <c r="A509" s="24"/>
      <c r="B509" s="36" t="s">
        <v>41</v>
      </c>
      <c r="C509" s="37">
        <v>45888.0</v>
      </c>
      <c r="F509" s="38">
        <v>0.5416666666666666</v>
      </c>
      <c r="I509" s="39" t="s">
        <v>1221</v>
      </c>
      <c r="S509" s="39" t="s">
        <v>414</v>
      </c>
      <c r="AE509" s="40">
        <v>0.08333333333333333</v>
      </c>
      <c r="AG509" s="39" t="s">
        <v>703</v>
      </c>
      <c r="AJ509" s="41" t="s">
        <v>44</v>
      </c>
      <c r="AL509" s="42" t="s">
        <v>414</v>
      </c>
      <c r="AP509" s="43" t="str">
        <f t="shared" si="4"/>
        <v>REALIZADO</v>
      </c>
      <c r="AV509" s="44" t="s">
        <v>46</v>
      </c>
      <c r="AW509" s="45"/>
      <c r="AX509" s="35"/>
    </row>
    <row r="510">
      <c r="A510" s="24"/>
      <c r="B510" s="36" t="s">
        <v>41</v>
      </c>
      <c r="C510" s="37">
        <v>45890.0</v>
      </c>
      <c r="F510" s="38">
        <v>0.5</v>
      </c>
      <c r="I510" s="39" t="s">
        <v>1222</v>
      </c>
      <c r="S510" s="39" t="s">
        <v>414</v>
      </c>
      <c r="AE510" s="40">
        <v>0.041666666666666664</v>
      </c>
      <c r="AG510" s="39" t="s">
        <v>703</v>
      </c>
      <c r="AJ510" s="41" t="s">
        <v>44</v>
      </c>
      <c r="AL510" s="42" t="s">
        <v>414</v>
      </c>
      <c r="AP510" s="43" t="str">
        <f t="shared" si="4"/>
        <v>REALIZADO</v>
      </c>
      <c r="AV510" s="44" t="s">
        <v>46</v>
      </c>
      <c r="AW510" s="45"/>
      <c r="AX510" s="35"/>
    </row>
    <row r="511">
      <c r="A511" s="24"/>
      <c r="B511" s="36" t="s">
        <v>41</v>
      </c>
      <c r="C511" s="37">
        <v>45890.0</v>
      </c>
      <c r="F511" s="38">
        <v>0.5416666666666666</v>
      </c>
      <c r="I511" s="39" t="s">
        <v>1223</v>
      </c>
      <c r="S511" s="39" t="s">
        <v>268</v>
      </c>
      <c r="AE511" s="40">
        <v>0.041666666666666664</v>
      </c>
      <c r="AG511" s="39" t="s">
        <v>657</v>
      </c>
      <c r="AJ511" s="60" t="s">
        <v>1224</v>
      </c>
      <c r="AL511" s="42" t="s">
        <v>136</v>
      </c>
      <c r="AP511" s="43" t="str">
        <f t="shared" si="4"/>
        <v>REALIZADO</v>
      </c>
      <c r="AV511" s="44" t="s">
        <v>46</v>
      </c>
      <c r="AW511" s="45"/>
      <c r="AX511" s="35"/>
    </row>
    <row r="512">
      <c r="A512" s="24"/>
      <c r="B512" s="36" t="s">
        <v>41</v>
      </c>
      <c r="C512" s="37">
        <v>45894.0</v>
      </c>
      <c r="F512" s="38">
        <v>0.5</v>
      </c>
      <c r="I512" s="39" t="s">
        <v>1225</v>
      </c>
      <c r="S512" s="39" t="s">
        <v>268</v>
      </c>
      <c r="AE512" s="40">
        <v>0.041666666666666664</v>
      </c>
      <c r="AG512" s="39" t="s">
        <v>657</v>
      </c>
      <c r="AJ512" s="60" t="s">
        <v>1226</v>
      </c>
      <c r="AL512" s="42" t="s">
        <v>45</v>
      </c>
      <c r="AP512" s="43" t="str">
        <f t="shared" si="4"/>
        <v>REALIZADO</v>
      </c>
      <c r="AV512" s="44" t="s">
        <v>46</v>
      </c>
      <c r="AW512" s="45"/>
      <c r="AX512" s="35"/>
    </row>
    <row r="513">
      <c r="A513" s="24"/>
      <c r="B513" s="36" t="s">
        <v>41</v>
      </c>
      <c r="C513" s="37">
        <v>45894.0</v>
      </c>
      <c r="F513" s="38">
        <v>0.5625</v>
      </c>
      <c r="I513" s="39" t="s">
        <v>1227</v>
      </c>
      <c r="S513" s="39" t="s">
        <v>185</v>
      </c>
      <c r="AE513" s="40">
        <v>0.003472222222222222</v>
      </c>
      <c r="AG513" s="39" t="s">
        <v>657</v>
      </c>
      <c r="AJ513" s="60" t="s">
        <v>1228</v>
      </c>
      <c r="AL513" s="42" t="s">
        <v>45</v>
      </c>
      <c r="AP513" s="43" t="str">
        <f t="shared" si="4"/>
        <v>REALIZADO</v>
      </c>
      <c r="AV513" s="44" t="s">
        <v>46</v>
      </c>
      <c r="AW513" s="45"/>
      <c r="AX513" s="35"/>
    </row>
    <row r="514">
      <c r="A514" s="24"/>
      <c r="B514" s="36" t="s">
        <v>41</v>
      </c>
      <c r="C514" s="37">
        <v>45895.0</v>
      </c>
      <c r="F514" s="38">
        <v>0.4791666666666667</v>
      </c>
      <c r="I514" s="39" t="s">
        <v>1229</v>
      </c>
      <c r="S514" s="39" t="s">
        <v>268</v>
      </c>
      <c r="AE514" s="40">
        <v>0.041666666666666664</v>
      </c>
      <c r="AG514" s="39" t="s">
        <v>657</v>
      </c>
      <c r="AJ514" s="60" t="s">
        <v>1230</v>
      </c>
      <c r="AL514" s="42" t="s">
        <v>45</v>
      </c>
      <c r="AP514" s="43" t="str">
        <f t="shared" si="4"/>
        <v>REALIZADO</v>
      </c>
      <c r="AV514" s="44" t="s">
        <v>46</v>
      </c>
      <c r="AW514" s="45"/>
      <c r="AX514" s="35"/>
    </row>
    <row r="515">
      <c r="A515" s="24"/>
      <c r="B515" s="36" t="s">
        <v>41</v>
      </c>
      <c r="C515" s="37">
        <v>45895.0</v>
      </c>
      <c r="F515" s="38">
        <v>0.4791666666666667</v>
      </c>
      <c r="I515" s="39" t="s">
        <v>1231</v>
      </c>
      <c r="S515" s="39" t="s">
        <v>711</v>
      </c>
      <c r="AE515" s="40">
        <v>0.041666666666666664</v>
      </c>
      <c r="AG515" s="39" t="s">
        <v>1214</v>
      </c>
      <c r="AJ515" s="60" t="s">
        <v>1232</v>
      </c>
      <c r="AL515" s="42" t="s">
        <v>53</v>
      </c>
      <c r="AP515" s="43" t="str">
        <f t="shared" si="4"/>
        <v>REALIZADO</v>
      </c>
      <c r="AV515" s="44" t="s">
        <v>46</v>
      </c>
      <c r="AW515" s="45"/>
      <c r="AX515" s="35"/>
    </row>
    <row r="516">
      <c r="A516" s="24"/>
      <c r="B516" s="36" t="s">
        <v>41</v>
      </c>
      <c r="C516" s="37">
        <v>45895.0</v>
      </c>
      <c r="F516" s="38">
        <v>0.5416666666666666</v>
      </c>
      <c r="I516" s="39" t="s">
        <v>1233</v>
      </c>
      <c r="S516" s="39" t="s">
        <v>268</v>
      </c>
      <c r="AE516" s="40">
        <v>0.041666666666666664</v>
      </c>
      <c r="AG516" s="39" t="s">
        <v>657</v>
      </c>
      <c r="AJ516" s="60" t="s">
        <v>1234</v>
      </c>
      <c r="AL516" s="42" t="s">
        <v>45</v>
      </c>
      <c r="AP516" s="43" t="str">
        <f t="shared" si="4"/>
        <v>REALIZADO</v>
      </c>
      <c r="AV516" s="44" t="s">
        <v>46</v>
      </c>
      <c r="AW516" s="45"/>
      <c r="AX516" s="35"/>
    </row>
    <row r="517">
      <c r="A517" s="24"/>
      <c r="B517" s="36" t="s">
        <v>41</v>
      </c>
      <c r="C517" s="37">
        <v>45895.0</v>
      </c>
      <c r="F517" s="38">
        <v>0.625</v>
      </c>
      <c r="I517" s="39" t="s">
        <v>1235</v>
      </c>
      <c r="S517" s="39" t="s">
        <v>268</v>
      </c>
      <c r="AE517" s="40">
        <v>0.041666666666666664</v>
      </c>
      <c r="AG517" s="39" t="s">
        <v>657</v>
      </c>
      <c r="AJ517" s="60" t="s">
        <v>1236</v>
      </c>
      <c r="AL517" s="42" t="s">
        <v>136</v>
      </c>
      <c r="AP517" s="43" t="str">
        <f t="shared" si="4"/>
        <v>REALIZADO</v>
      </c>
      <c r="AV517" s="44" t="s">
        <v>46</v>
      </c>
      <c r="AW517" s="45"/>
      <c r="AX517" s="35"/>
    </row>
    <row r="518">
      <c r="A518" s="24"/>
      <c r="B518" s="36" t="s">
        <v>34</v>
      </c>
      <c r="C518" s="37">
        <v>45896.0</v>
      </c>
      <c r="F518" s="38">
        <v>0.5</v>
      </c>
      <c r="I518" s="39" t="s">
        <v>1237</v>
      </c>
      <c r="S518" s="39" t="s">
        <v>1238</v>
      </c>
      <c r="AE518" s="40">
        <v>0.4375</v>
      </c>
      <c r="AG518" s="39" t="s">
        <v>1239</v>
      </c>
      <c r="AJ518" s="41" t="s">
        <v>1240</v>
      </c>
      <c r="AL518" s="42" t="s">
        <v>53</v>
      </c>
      <c r="AP518" s="43" t="str">
        <f t="shared" si="4"/>
        <v>REALIZADO</v>
      </c>
      <c r="AV518" s="44" t="s">
        <v>46</v>
      </c>
      <c r="AW518" s="45"/>
      <c r="AX518" s="35"/>
    </row>
    <row r="519">
      <c r="A519" s="24"/>
      <c r="B519" s="36" t="s">
        <v>41</v>
      </c>
      <c r="C519" s="37">
        <v>45896.0</v>
      </c>
      <c r="F519" s="38">
        <v>0.5208333333333334</v>
      </c>
      <c r="I519" s="39" t="s">
        <v>1241</v>
      </c>
      <c r="S519" s="39" t="s">
        <v>268</v>
      </c>
      <c r="AE519" s="40">
        <v>0.041666666666666664</v>
      </c>
      <c r="AG519" s="39" t="s">
        <v>657</v>
      </c>
      <c r="AJ519" s="60" t="s">
        <v>1242</v>
      </c>
      <c r="AL519" s="42" t="s">
        <v>45</v>
      </c>
      <c r="AP519" s="43" t="str">
        <f t="shared" si="4"/>
        <v>REALIZADO</v>
      </c>
      <c r="AV519" s="44" t="s">
        <v>46</v>
      </c>
      <c r="AW519" s="45"/>
      <c r="AX519" s="35"/>
    </row>
    <row r="520">
      <c r="A520" s="24"/>
      <c r="B520" s="36" t="s">
        <v>41</v>
      </c>
      <c r="C520" s="37">
        <v>45896.0</v>
      </c>
      <c r="F520" s="38">
        <v>0.5833333333333334</v>
      </c>
      <c r="I520" s="39" t="s">
        <v>1243</v>
      </c>
      <c r="S520" s="39" t="s">
        <v>268</v>
      </c>
      <c r="AE520" s="40">
        <v>0.041666666666666664</v>
      </c>
      <c r="AG520" s="39" t="s">
        <v>657</v>
      </c>
      <c r="AJ520" s="60" t="s">
        <v>1244</v>
      </c>
      <c r="AL520" s="42" t="s">
        <v>45</v>
      </c>
      <c r="AP520" s="43" t="str">
        <f t="shared" si="4"/>
        <v>REALIZADO</v>
      </c>
      <c r="AV520" s="44" t="s">
        <v>46</v>
      </c>
      <c r="AW520" s="45"/>
      <c r="AX520" s="35"/>
    </row>
    <row r="521">
      <c r="A521" s="24"/>
      <c r="B521" s="36" t="s">
        <v>41</v>
      </c>
      <c r="C521" s="37">
        <v>45901.0</v>
      </c>
      <c r="F521" s="38">
        <v>0.5833333333333334</v>
      </c>
      <c r="I521" s="39" t="s">
        <v>1245</v>
      </c>
      <c r="S521" s="39" t="s">
        <v>268</v>
      </c>
      <c r="AE521" s="40">
        <v>0.041666666666666664</v>
      </c>
      <c r="AG521" s="39" t="s">
        <v>780</v>
      </c>
      <c r="AJ521" s="60" t="s">
        <v>1246</v>
      </c>
      <c r="AL521" s="42" t="s">
        <v>53</v>
      </c>
      <c r="AP521" s="43" t="str">
        <f t="shared" si="4"/>
        <v>REALIZADO</v>
      </c>
      <c r="AV521" s="44" t="s">
        <v>46</v>
      </c>
      <c r="AW521" s="45"/>
      <c r="AX521" s="35"/>
    </row>
    <row r="522">
      <c r="A522" s="24"/>
      <c r="B522" s="36" t="s">
        <v>41</v>
      </c>
      <c r="C522" s="37">
        <v>45902.0</v>
      </c>
      <c r="F522" s="38">
        <v>0.5833333333333334</v>
      </c>
      <c r="I522" s="39" t="s">
        <v>803</v>
      </c>
      <c r="S522" s="39" t="s">
        <v>268</v>
      </c>
      <c r="AE522" s="40">
        <v>0.041666666666666664</v>
      </c>
      <c r="AG522" s="39" t="s">
        <v>788</v>
      </c>
      <c r="AJ522" s="60" t="s">
        <v>1247</v>
      </c>
      <c r="AL522" s="42" t="s">
        <v>45</v>
      </c>
      <c r="AP522" s="43" t="str">
        <f t="shared" si="4"/>
        <v>REALIZADO</v>
      </c>
      <c r="AV522" s="44" t="s">
        <v>46</v>
      </c>
      <c r="AW522" s="45"/>
      <c r="AX522" s="35"/>
    </row>
    <row r="523">
      <c r="A523" s="24"/>
      <c r="B523" s="36" t="s">
        <v>41</v>
      </c>
      <c r="C523" s="37">
        <v>45902.0</v>
      </c>
      <c r="F523" s="38">
        <v>0.7916666666666666</v>
      </c>
      <c r="I523" s="39" t="s">
        <v>1248</v>
      </c>
      <c r="S523" s="39" t="s">
        <v>268</v>
      </c>
      <c r="AE523" s="40">
        <v>0.041666666666666664</v>
      </c>
      <c r="AG523" s="39" t="s">
        <v>788</v>
      </c>
      <c r="AJ523" s="60" t="s">
        <v>1249</v>
      </c>
      <c r="AL523" s="42" t="s">
        <v>1250</v>
      </c>
      <c r="AP523" s="43" t="str">
        <f t="shared" si="4"/>
        <v>REALIZADO</v>
      </c>
      <c r="AV523" s="44" t="s">
        <v>46</v>
      </c>
      <c r="AW523" s="45"/>
      <c r="AX523" s="35"/>
    </row>
    <row r="524">
      <c r="A524" s="24"/>
      <c r="B524" s="36" t="s">
        <v>41</v>
      </c>
      <c r="C524" s="37">
        <v>45902.0</v>
      </c>
      <c r="F524" s="38">
        <v>0.8506944444444444</v>
      </c>
      <c r="I524" s="39" t="s">
        <v>793</v>
      </c>
      <c r="S524" s="39" t="s">
        <v>185</v>
      </c>
      <c r="AE524" s="40">
        <v>0.003472222222222222</v>
      </c>
      <c r="AG524" s="39" t="s">
        <v>657</v>
      </c>
      <c r="AJ524" s="60" t="s">
        <v>1251</v>
      </c>
      <c r="AL524" s="42" t="s">
        <v>45</v>
      </c>
      <c r="AP524" s="43" t="str">
        <f t="shared" si="4"/>
        <v>REALIZADO</v>
      </c>
      <c r="AV524" s="44" t="s">
        <v>46</v>
      </c>
      <c r="AW524" s="45"/>
      <c r="AX524" s="35"/>
    </row>
    <row r="525">
      <c r="A525" s="24"/>
      <c r="B525" s="36" t="s">
        <v>41</v>
      </c>
      <c r="C525" s="37">
        <v>45903.0</v>
      </c>
      <c r="F525" s="38">
        <v>0.7638888888888888</v>
      </c>
      <c r="I525" s="39" t="s">
        <v>993</v>
      </c>
      <c r="S525" s="39" t="s">
        <v>185</v>
      </c>
      <c r="AE525" s="40">
        <v>0.003472222222222222</v>
      </c>
      <c r="AG525" s="39" t="s">
        <v>657</v>
      </c>
      <c r="AJ525" s="60" t="s">
        <v>1252</v>
      </c>
      <c r="AL525" s="42" t="s">
        <v>1253</v>
      </c>
      <c r="AP525" s="43" t="str">
        <f t="shared" si="4"/>
        <v>REALIZADO</v>
      </c>
      <c r="AV525" s="44" t="s">
        <v>46</v>
      </c>
      <c r="AW525" s="45"/>
      <c r="AX525" s="35"/>
    </row>
    <row r="526">
      <c r="A526" s="24"/>
      <c r="B526" s="36" t="s">
        <v>41</v>
      </c>
      <c r="C526" s="37">
        <v>45903.0</v>
      </c>
      <c r="F526" s="38">
        <v>0.7743055555555556</v>
      </c>
      <c r="I526" s="39" t="s">
        <v>933</v>
      </c>
      <c r="S526" s="39" t="s">
        <v>185</v>
      </c>
      <c r="AE526" s="40">
        <v>0.003472222222222222</v>
      </c>
      <c r="AG526" s="39" t="s">
        <v>657</v>
      </c>
      <c r="AJ526" s="60" t="s">
        <v>1254</v>
      </c>
      <c r="AL526" s="42" t="s">
        <v>1253</v>
      </c>
      <c r="AP526" s="43" t="str">
        <f t="shared" si="4"/>
        <v>REALIZADO</v>
      </c>
      <c r="AV526" s="44" t="s">
        <v>46</v>
      </c>
      <c r="AW526" s="45"/>
      <c r="AX526" s="35"/>
    </row>
    <row r="527">
      <c r="A527" s="24"/>
      <c r="B527" s="36" t="s">
        <v>41</v>
      </c>
      <c r="C527" s="37">
        <v>45903.0</v>
      </c>
      <c r="F527" s="38">
        <v>0.8541666666666666</v>
      </c>
      <c r="I527" s="39" t="s">
        <v>1255</v>
      </c>
      <c r="S527" s="39" t="s">
        <v>268</v>
      </c>
      <c r="AE527" s="40">
        <v>0.010416666666666666</v>
      </c>
      <c r="AG527" s="39" t="s">
        <v>657</v>
      </c>
      <c r="AJ527" s="41" t="s">
        <v>44</v>
      </c>
      <c r="AL527" s="42" t="s">
        <v>45</v>
      </c>
      <c r="AP527" s="43" t="str">
        <f t="shared" si="4"/>
        <v>ABORTIVA</v>
      </c>
      <c r="AV527" s="44" t="s">
        <v>57</v>
      </c>
      <c r="AW527" s="45"/>
      <c r="AX527" s="35"/>
    </row>
    <row r="528">
      <c r="A528" s="24"/>
      <c r="B528" s="36" t="s">
        <v>34</v>
      </c>
      <c r="C528" s="37">
        <v>45905.0</v>
      </c>
      <c r="F528" s="38">
        <v>0.5</v>
      </c>
      <c r="I528" s="39" t="s">
        <v>1256</v>
      </c>
      <c r="S528" s="39" t="s">
        <v>1257</v>
      </c>
      <c r="AE528" s="40">
        <v>0.1736111111111111</v>
      </c>
      <c r="AG528" s="39" t="s">
        <v>1258</v>
      </c>
      <c r="AJ528" s="41" t="s">
        <v>1259</v>
      </c>
      <c r="AL528" s="42" t="s">
        <v>45</v>
      </c>
      <c r="AP528" s="43" t="str">
        <f t="shared" si="4"/>
        <v>REALIZADO</v>
      </c>
      <c r="AV528" s="44" t="s">
        <v>46</v>
      </c>
      <c r="AW528" s="45"/>
      <c r="AX528" s="35"/>
    </row>
    <row r="529">
      <c r="A529" s="24"/>
      <c r="B529" s="36" t="s">
        <v>41</v>
      </c>
      <c r="C529" s="37">
        <v>45905.0</v>
      </c>
      <c r="F529" s="38">
        <v>0.8541666666666666</v>
      </c>
      <c r="I529" s="39" t="s">
        <v>1260</v>
      </c>
      <c r="S529" s="39" t="s">
        <v>185</v>
      </c>
      <c r="AE529" s="40">
        <v>0.003472222222222222</v>
      </c>
      <c r="AG529" s="39" t="s">
        <v>657</v>
      </c>
      <c r="AJ529" s="41" t="s">
        <v>44</v>
      </c>
      <c r="AL529" s="42" t="s">
        <v>45</v>
      </c>
      <c r="AP529" s="43" t="str">
        <f t="shared" si="4"/>
        <v>ABORTIVA</v>
      </c>
      <c r="AV529" s="44" t="s">
        <v>743</v>
      </c>
      <c r="AW529" s="45"/>
      <c r="AX529" s="35"/>
    </row>
    <row r="530">
      <c r="A530" s="24"/>
      <c r="B530" s="36" t="s">
        <v>41</v>
      </c>
      <c r="C530" s="37">
        <v>45909.0</v>
      </c>
      <c r="F530" s="38">
        <v>0.8541666666666666</v>
      </c>
      <c r="I530" s="39" t="s">
        <v>1261</v>
      </c>
      <c r="S530" s="39" t="s">
        <v>268</v>
      </c>
      <c r="AE530" s="40">
        <v>0.041666666666666664</v>
      </c>
      <c r="AG530" s="39" t="s">
        <v>788</v>
      </c>
      <c r="AJ530" s="41" t="s">
        <v>44</v>
      </c>
      <c r="AL530" s="42" t="s">
        <v>45</v>
      </c>
      <c r="AP530" s="43" t="str">
        <f t="shared" si="4"/>
        <v>ABORTIVA</v>
      </c>
      <c r="AV530" s="44" t="s">
        <v>743</v>
      </c>
      <c r="AW530" s="45"/>
      <c r="AX530" s="35"/>
    </row>
    <row r="531">
      <c r="A531" s="24"/>
      <c r="B531" s="36" t="s">
        <v>34</v>
      </c>
      <c r="C531" s="37">
        <v>45910.0</v>
      </c>
      <c r="F531" s="38">
        <v>0.4583333333333333</v>
      </c>
      <c r="I531" s="39" t="s">
        <v>1262</v>
      </c>
      <c r="S531" s="39" t="s">
        <v>1263</v>
      </c>
      <c r="AE531" s="40">
        <v>0.09027777777777778</v>
      </c>
      <c r="AG531" s="39" t="s">
        <v>1264</v>
      </c>
      <c r="AJ531" s="41" t="s">
        <v>1265</v>
      </c>
      <c r="AL531" s="42" t="s">
        <v>82</v>
      </c>
      <c r="AP531" s="43" t="str">
        <f t="shared" si="4"/>
        <v>REALIZADO</v>
      </c>
      <c r="AV531" s="44" t="s">
        <v>46</v>
      </c>
      <c r="AW531" s="45"/>
      <c r="AX531" s="35"/>
    </row>
    <row r="532">
      <c r="A532" s="24"/>
      <c r="B532" s="36" t="s">
        <v>41</v>
      </c>
      <c r="C532" s="37">
        <v>45910.0</v>
      </c>
      <c r="F532" s="38">
        <v>0.5</v>
      </c>
      <c r="I532" s="39" t="s">
        <v>1266</v>
      </c>
      <c r="S532" s="39" t="s">
        <v>185</v>
      </c>
      <c r="AE532" s="40">
        <v>0.003472222222222222</v>
      </c>
      <c r="AG532" s="39" t="s">
        <v>657</v>
      </c>
      <c r="AJ532" s="60" t="s">
        <v>1267</v>
      </c>
      <c r="AL532" s="42" t="s">
        <v>45</v>
      </c>
      <c r="AP532" s="43" t="str">
        <f t="shared" si="4"/>
        <v>REALIZADO</v>
      </c>
      <c r="AV532" s="44" t="s">
        <v>46</v>
      </c>
      <c r="AW532" s="45"/>
      <c r="AX532" s="35"/>
    </row>
    <row r="533">
      <c r="A533" s="24"/>
      <c r="B533" s="36" t="s">
        <v>41</v>
      </c>
      <c r="C533" s="37">
        <v>45911.0</v>
      </c>
      <c r="F533" s="38">
        <v>0.8541666666666666</v>
      </c>
      <c r="I533" s="39" t="s">
        <v>1268</v>
      </c>
      <c r="S533" s="39" t="s">
        <v>185</v>
      </c>
      <c r="AE533" s="40">
        <v>0.003472222222222222</v>
      </c>
      <c r="AG533" s="39" t="s">
        <v>657</v>
      </c>
      <c r="AJ533" s="61" t="s">
        <v>1269</v>
      </c>
      <c r="AL533" s="42" t="s">
        <v>45</v>
      </c>
      <c r="AP533" s="43" t="str">
        <f t="shared" si="4"/>
        <v>REALIZADO</v>
      </c>
      <c r="AV533" s="44" t="s">
        <v>46</v>
      </c>
      <c r="AW533" s="45"/>
      <c r="AX533" s="35"/>
    </row>
    <row r="534">
      <c r="A534" s="24"/>
      <c r="B534" s="36" t="s">
        <v>41</v>
      </c>
      <c r="C534" s="37">
        <v>45911.0</v>
      </c>
      <c r="F534" s="38">
        <v>0.875</v>
      </c>
      <c r="I534" s="39" t="s">
        <v>1270</v>
      </c>
      <c r="S534" s="39" t="s">
        <v>268</v>
      </c>
      <c r="AE534" s="40">
        <v>0.041666666666666664</v>
      </c>
      <c r="AG534" s="39" t="s">
        <v>788</v>
      </c>
      <c r="AJ534" s="61" t="s">
        <v>1271</v>
      </c>
      <c r="AL534" s="42" t="s">
        <v>45</v>
      </c>
      <c r="AP534" s="43" t="str">
        <f t="shared" si="4"/>
        <v>REALIZADO</v>
      </c>
      <c r="AV534" s="44" t="s">
        <v>46</v>
      </c>
      <c r="AW534" s="45"/>
      <c r="AX534" s="35"/>
    </row>
    <row r="535">
      <c r="A535" s="24"/>
      <c r="B535" s="36" t="s">
        <v>41</v>
      </c>
      <c r="C535" s="37">
        <v>45912.0</v>
      </c>
      <c r="F535" s="38">
        <v>0.4583333333333333</v>
      </c>
      <c r="I535" s="39" t="s">
        <v>1272</v>
      </c>
      <c r="S535" s="39" t="s">
        <v>185</v>
      </c>
      <c r="AE535" s="40">
        <v>0.003472222222222222</v>
      </c>
      <c r="AG535" s="39" t="s">
        <v>657</v>
      </c>
      <c r="AJ535" s="61" t="s">
        <v>1273</v>
      </c>
      <c r="AL535" s="42" t="s">
        <v>53</v>
      </c>
      <c r="AP535" s="43" t="str">
        <f t="shared" si="4"/>
        <v>REALIZADO</v>
      </c>
      <c r="AV535" s="44" t="s">
        <v>46</v>
      </c>
      <c r="AW535" s="45"/>
      <c r="AX535" s="35"/>
    </row>
    <row r="536">
      <c r="A536" s="24"/>
      <c r="B536" s="36" t="s">
        <v>41</v>
      </c>
      <c r="C536" s="37">
        <v>45912.0</v>
      </c>
      <c r="F536" s="38">
        <v>0.5416666666666666</v>
      </c>
      <c r="I536" s="39" t="s">
        <v>1274</v>
      </c>
      <c r="S536" s="39" t="s">
        <v>414</v>
      </c>
      <c r="AE536" s="40">
        <v>0.08333333333333333</v>
      </c>
      <c r="AG536" s="39" t="s">
        <v>703</v>
      </c>
      <c r="AJ536" s="41" t="s">
        <v>44</v>
      </c>
      <c r="AL536" s="42" t="s">
        <v>414</v>
      </c>
      <c r="AP536" s="43" t="str">
        <f t="shared" si="4"/>
        <v>REALIZADO</v>
      </c>
      <c r="AV536" s="44" t="s">
        <v>46</v>
      </c>
      <c r="AW536" s="45"/>
      <c r="AX536" s="35"/>
    </row>
    <row r="537">
      <c r="A537" s="24"/>
      <c r="B537" s="36" t="s">
        <v>41</v>
      </c>
      <c r="C537" s="37">
        <v>45915.0</v>
      </c>
      <c r="F537" s="38">
        <v>0.8541666666666666</v>
      </c>
      <c r="I537" s="39" t="s">
        <v>1275</v>
      </c>
      <c r="S537" s="39" t="s">
        <v>268</v>
      </c>
      <c r="AE537" s="40">
        <v>0.041666666666666664</v>
      </c>
      <c r="AG537" s="39" t="s">
        <v>788</v>
      </c>
      <c r="AJ537" s="61" t="s">
        <v>1276</v>
      </c>
      <c r="AL537" s="42" t="s">
        <v>45</v>
      </c>
      <c r="AP537" s="43" t="str">
        <f t="shared" si="4"/>
        <v>REALIZADO</v>
      </c>
      <c r="AV537" s="44" t="s">
        <v>46</v>
      </c>
      <c r="AW537" s="45"/>
      <c r="AX537" s="35"/>
    </row>
    <row r="538">
      <c r="A538" s="24"/>
      <c r="B538" s="36" t="s">
        <v>34</v>
      </c>
      <c r="C538" s="37">
        <v>45916.0</v>
      </c>
      <c r="F538" s="38">
        <v>0.5</v>
      </c>
      <c r="I538" s="39" t="s">
        <v>1277</v>
      </c>
      <c r="S538" s="39" t="s">
        <v>458</v>
      </c>
      <c r="AE538" s="40">
        <v>0.3611111111111111</v>
      </c>
      <c r="AG538" s="39" t="s">
        <v>1278</v>
      </c>
      <c r="AJ538" s="41" t="s">
        <v>1279</v>
      </c>
      <c r="AL538" s="42" t="s">
        <v>53</v>
      </c>
      <c r="AP538" s="43" t="str">
        <f t="shared" si="4"/>
        <v>REALIZADO</v>
      </c>
      <c r="AV538" s="44" t="s">
        <v>46</v>
      </c>
      <c r="AW538" s="45"/>
      <c r="AX538" s="35"/>
    </row>
    <row r="539">
      <c r="A539" s="24"/>
      <c r="B539" s="36" t="s">
        <v>34</v>
      </c>
      <c r="C539" s="37">
        <v>45916.0</v>
      </c>
      <c r="F539" s="38">
        <v>0.7083333333333334</v>
      </c>
      <c r="I539" s="39" t="s">
        <v>1280</v>
      </c>
      <c r="S539" s="39" t="s">
        <v>270</v>
      </c>
      <c r="AE539" s="40">
        <v>0.08333333333333333</v>
      </c>
      <c r="AG539" s="39" t="s">
        <v>1281</v>
      </c>
      <c r="AJ539" s="41" t="s">
        <v>1282</v>
      </c>
      <c r="AL539" s="42" t="s">
        <v>45</v>
      </c>
      <c r="AP539" s="43" t="str">
        <f t="shared" si="4"/>
        <v>REALIZADO</v>
      </c>
      <c r="AV539" s="44" t="s">
        <v>46</v>
      </c>
      <c r="AW539" s="45"/>
      <c r="AX539" s="35"/>
    </row>
    <row r="540">
      <c r="A540" s="24"/>
      <c r="B540" s="36" t="s">
        <v>34</v>
      </c>
      <c r="C540" s="37">
        <v>45917.0</v>
      </c>
      <c r="F540" s="38">
        <v>0.7291666666666666</v>
      </c>
      <c r="I540" s="39" t="s">
        <v>1283</v>
      </c>
      <c r="S540" s="39" t="s">
        <v>1284</v>
      </c>
      <c r="AE540" s="40">
        <v>0.027777777777777776</v>
      </c>
      <c r="AG540" s="39" t="s">
        <v>1285</v>
      </c>
      <c r="AJ540" s="41" t="s">
        <v>1286</v>
      </c>
      <c r="AL540" s="42" t="s">
        <v>45</v>
      </c>
      <c r="AP540" s="43" t="str">
        <f t="shared" si="4"/>
        <v>REALIZADO</v>
      </c>
      <c r="AV540" s="44" t="s">
        <v>46</v>
      </c>
      <c r="AW540" s="45"/>
      <c r="AX540" s="35"/>
    </row>
    <row r="541">
      <c r="A541" s="24"/>
      <c r="B541" s="36" t="s">
        <v>34</v>
      </c>
      <c r="C541" s="37">
        <v>45918.0</v>
      </c>
      <c r="F541" s="38">
        <v>0.7083333333333334</v>
      </c>
      <c r="I541" s="39" t="s">
        <v>1287</v>
      </c>
      <c r="S541" s="39" t="s">
        <v>1288</v>
      </c>
      <c r="AE541" s="40">
        <v>0.20833333333333334</v>
      </c>
      <c r="AG541" s="39" t="s">
        <v>1289</v>
      </c>
      <c r="AJ541" s="41" t="s">
        <v>1290</v>
      </c>
      <c r="AL541" s="42" t="s">
        <v>53</v>
      </c>
      <c r="AP541" s="43" t="str">
        <f t="shared" si="4"/>
        <v>REALIZADO</v>
      </c>
      <c r="AV541" s="44" t="s">
        <v>46</v>
      </c>
      <c r="AW541" s="45"/>
      <c r="AX541" s="35"/>
    </row>
    <row r="542">
      <c r="A542" s="24"/>
      <c r="B542" s="36" t="s">
        <v>41</v>
      </c>
      <c r="C542" s="37">
        <v>45922.0</v>
      </c>
      <c r="F542" s="38">
        <v>0.5</v>
      </c>
      <c r="I542" s="39" t="s">
        <v>1291</v>
      </c>
      <c r="S542" s="39" t="s">
        <v>711</v>
      </c>
      <c r="AE542" s="40">
        <v>0.0625</v>
      </c>
      <c r="AG542" s="39" t="s">
        <v>880</v>
      </c>
      <c r="AJ542" s="61" t="s">
        <v>1292</v>
      </c>
      <c r="AL542" s="42" t="s">
        <v>53</v>
      </c>
      <c r="AP542" s="43" t="str">
        <f t="shared" si="4"/>
        <v>REALIZADO</v>
      </c>
      <c r="AV542" s="44" t="s">
        <v>46</v>
      </c>
      <c r="AW542" s="45"/>
      <c r="AX542" s="35"/>
    </row>
    <row r="543">
      <c r="A543" s="24"/>
      <c r="B543" s="36" t="s">
        <v>41</v>
      </c>
      <c r="C543" s="37">
        <v>45924.0</v>
      </c>
      <c r="F543" s="38">
        <v>0.8472222222222222</v>
      </c>
      <c r="I543" s="39" t="s">
        <v>1293</v>
      </c>
      <c r="S543" s="39" t="s">
        <v>185</v>
      </c>
      <c r="AE543" s="40">
        <v>0.003472222222222222</v>
      </c>
      <c r="AG543" s="39" t="s">
        <v>657</v>
      </c>
      <c r="AJ543" s="61" t="s">
        <v>1294</v>
      </c>
      <c r="AL543" s="42" t="s">
        <v>82</v>
      </c>
      <c r="AP543" s="43" t="str">
        <f t="shared" si="4"/>
        <v>REALIZADO</v>
      </c>
      <c r="AV543" s="44" t="s">
        <v>46</v>
      </c>
      <c r="AW543" s="45"/>
      <c r="AX543" s="35"/>
    </row>
    <row r="544">
      <c r="A544" s="24"/>
      <c r="B544" s="36" t="s">
        <v>41</v>
      </c>
      <c r="C544" s="37">
        <v>45925.0</v>
      </c>
      <c r="F544" s="38">
        <v>0.5</v>
      </c>
      <c r="I544" s="39" t="s">
        <v>1295</v>
      </c>
      <c r="S544" s="39" t="s">
        <v>66</v>
      </c>
      <c r="AE544" s="40">
        <v>0.041666666666666664</v>
      </c>
      <c r="AG544" s="39" t="s">
        <v>67</v>
      </c>
      <c r="AJ544" s="61" t="s">
        <v>1296</v>
      </c>
      <c r="AL544" s="42" t="s">
        <v>56</v>
      </c>
      <c r="AP544" s="43" t="str">
        <f t="shared" si="4"/>
        <v>REALIZADO</v>
      </c>
      <c r="AV544" s="44" t="s">
        <v>46</v>
      </c>
      <c r="AW544" s="45"/>
      <c r="AX544" s="35"/>
    </row>
    <row r="545">
      <c r="A545" s="24"/>
      <c r="B545" s="36" t="s">
        <v>41</v>
      </c>
      <c r="C545" s="37">
        <v>45931.0</v>
      </c>
      <c r="F545" s="38">
        <v>0.8645833333333334</v>
      </c>
      <c r="I545" s="39" t="s">
        <v>1297</v>
      </c>
      <c r="S545" s="39" t="s">
        <v>185</v>
      </c>
      <c r="AE545" s="40">
        <v>0.003472222222222222</v>
      </c>
      <c r="AG545" s="39" t="s">
        <v>44</v>
      </c>
      <c r="AJ545" s="61" t="s">
        <v>1298</v>
      </c>
      <c r="AL545" s="42" t="s">
        <v>1299</v>
      </c>
      <c r="AP545" s="43" t="str">
        <f t="shared" si="4"/>
        <v>REALIZADO</v>
      </c>
      <c r="AV545" s="44" t="s">
        <v>46</v>
      </c>
      <c r="AW545" s="45"/>
      <c r="AX545" s="35"/>
    </row>
    <row r="546">
      <c r="A546" s="24"/>
      <c r="B546" s="36" t="s">
        <v>34</v>
      </c>
      <c r="C546" s="37">
        <v>45927.0</v>
      </c>
      <c r="F546" s="38">
        <v>0.5416666666666666</v>
      </c>
      <c r="I546" s="39" t="s">
        <v>1300</v>
      </c>
      <c r="S546" s="39" t="s">
        <v>1301</v>
      </c>
      <c r="AE546" s="40">
        <v>0.8576388888888888</v>
      </c>
      <c r="AG546" s="39" t="s">
        <v>1302</v>
      </c>
      <c r="AJ546" s="41" t="s">
        <v>1303</v>
      </c>
      <c r="AL546" s="42" t="s">
        <v>56</v>
      </c>
      <c r="AP546" s="43" t="str">
        <f t="shared" si="4"/>
        <v>REALIZADO</v>
      </c>
      <c r="AV546" s="44" t="s">
        <v>46</v>
      </c>
      <c r="AW546" s="45"/>
      <c r="AX546" s="35"/>
    </row>
    <row r="547">
      <c r="A547" s="24"/>
      <c r="B547" s="36" t="s">
        <v>34</v>
      </c>
      <c r="C547" s="37">
        <v>45929.0</v>
      </c>
      <c r="F547" s="38">
        <v>0.5</v>
      </c>
      <c r="I547" s="39" t="s">
        <v>1304</v>
      </c>
      <c r="S547" s="39" t="s">
        <v>1305</v>
      </c>
      <c r="AE547" s="40">
        <v>0.25</v>
      </c>
      <c r="AG547" s="39" t="s">
        <v>535</v>
      </c>
      <c r="AJ547" s="41" t="s">
        <v>1306</v>
      </c>
      <c r="AL547" s="42" t="s">
        <v>53</v>
      </c>
      <c r="AP547" s="43" t="str">
        <f t="shared" si="4"/>
        <v>REALIZADO</v>
      </c>
      <c r="AV547" s="44" t="s">
        <v>46</v>
      </c>
      <c r="AW547" s="45"/>
      <c r="AX547" s="35"/>
    </row>
    <row r="548">
      <c r="A548" s="24"/>
      <c r="B548" s="36" t="s">
        <v>34</v>
      </c>
      <c r="C548" s="37">
        <v>45932.0</v>
      </c>
      <c r="F548" s="38">
        <v>0.4166666666666667</v>
      </c>
      <c r="I548" s="39" t="s">
        <v>1307</v>
      </c>
      <c r="S548" s="39" t="s">
        <v>1308</v>
      </c>
      <c r="AE548" s="40">
        <v>0.3541666666666667</v>
      </c>
      <c r="AG548" s="39" t="s">
        <v>1309</v>
      </c>
      <c r="AJ548" s="41" t="s">
        <v>1310</v>
      </c>
      <c r="AL548" s="42" t="s">
        <v>56</v>
      </c>
      <c r="AP548" s="43" t="str">
        <f t="shared" si="4"/>
        <v>REALIZADO</v>
      </c>
      <c r="AV548" s="44" t="s">
        <v>46</v>
      </c>
      <c r="AW548" s="45"/>
      <c r="AX548" s="35"/>
    </row>
    <row r="549">
      <c r="A549" s="24"/>
      <c r="B549" s="36" t="s">
        <v>41</v>
      </c>
      <c r="C549" s="37">
        <v>45935.0</v>
      </c>
      <c r="F549" s="38">
        <v>0.53125</v>
      </c>
      <c r="I549" s="39" t="s">
        <v>1311</v>
      </c>
      <c r="S549" s="39" t="s">
        <v>1312</v>
      </c>
      <c r="AE549" s="40">
        <v>0.125</v>
      </c>
      <c r="AG549" s="39" t="s">
        <v>1313</v>
      </c>
      <c r="AJ549" s="61" t="s">
        <v>1314</v>
      </c>
      <c r="AL549" s="42" t="s">
        <v>136</v>
      </c>
      <c r="AP549" s="43" t="str">
        <f t="shared" si="4"/>
        <v>REALIZADO</v>
      </c>
      <c r="AV549" s="44" t="s">
        <v>46</v>
      </c>
      <c r="AW549" s="45"/>
      <c r="AX549" s="35"/>
    </row>
    <row r="550">
      <c r="A550" s="24"/>
      <c r="B550" s="36" t="s">
        <v>34</v>
      </c>
      <c r="C550" s="37">
        <v>45935.0</v>
      </c>
      <c r="F550" s="38">
        <v>0.59375</v>
      </c>
      <c r="I550" s="39" t="s">
        <v>970</v>
      </c>
      <c r="S550" s="39" t="s">
        <v>1315</v>
      </c>
      <c r="AE550" s="40">
        <v>0.14583333333333334</v>
      </c>
      <c r="AG550" s="39" t="s">
        <v>1316</v>
      </c>
      <c r="AJ550" s="41" t="s">
        <v>1317</v>
      </c>
      <c r="AL550" s="42" t="s">
        <v>82</v>
      </c>
      <c r="AP550" s="43" t="str">
        <f t="shared" si="4"/>
        <v>REALIZADO</v>
      </c>
      <c r="AV550" s="44" t="s">
        <v>46</v>
      </c>
      <c r="AW550" s="45"/>
      <c r="AX550" s="35"/>
    </row>
    <row r="551">
      <c r="A551" s="24"/>
      <c r="B551" s="36" t="s">
        <v>34</v>
      </c>
      <c r="C551" s="37">
        <v>45938.0</v>
      </c>
      <c r="F551" s="38">
        <v>0.5</v>
      </c>
      <c r="I551" s="39" t="s">
        <v>993</v>
      </c>
      <c r="S551" s="39" t="s">
        <v>78</v>
      </c>
      <c r="AE551" s="40">
        <v>0.14930555555555555</v>
      </c>
      <c r="AG551" s="39" t="s">
        <v>1318</v>
      </c>
      <c r="AJ551" s="41" t="s">
        <v>1319</v>
      </c>
      <c r="AL551" s="42" t="s">
        <v>136</v>
      </c>
      <c r="AP551" s="43" t="str">
        <f t="shared" si="4"/>
        <v>REALIZADO</v>
      </c>
      <c r="AV551" s="44" t="s">
        <v>46</v>
      </c>
      <c r="AW551" s="45"/>
      <c r="AX551" s="35"/>
    </row>
    <row r="552">
      <c r="A552" s="24"/>
      <c r="B552" s="36" t="s">
        <v>41</v>
      </c>
      <c r="C552" s="37">
        <v>45941.0</v>
      </c>
      <c r="F552" s="38">
        <v>0.7916666666666666</v>
      </c>
      <c r="I552" s="39" t="s">
        <v>1320</v>
      </c>
      <c r="S552" s="39" t="s">
        <v>268</v>
      </c>
      <c r="AE552" s="40">
        <v>0.041666666666666664</v>
      </c>
      <c r="AG552" s="39" t="s">
        <v>788</v>
      </c>
      <c r="AJ552" s="61" t="s">
        <v>1321</v>
      </c>
      <c r="AL552" s="42" t="s">
        <v>136</v>
      </c>
      <c r="AP552" s="43" t="str">
        <f t="shared" si="4"/>
        <v>REALIZADO</v>
      </c>
      <c r="AV552" s="44" t="s">
        <v>46</v>
      </c>
      <c r="AW552" s="45"/>
      <c r="AX552" s="35"/>
    </row>
    <row r="553">
      <c r="A553" s="24"/>
      <c r="B553" s="36" t="s">
        <v>41</v>
      </c>
      <c r="C553" s="37">
        <v>45941.0</v>
      </c>
      <c r="F553" s="38">
        <v>0.8333333333333334</v>
      </c>
      <c r="I553" s="39" t="s">
        <v>1322</v>
      </c>
      <c r="S553" s="39" t="s">
        <v>233</v>
      </c>
      <c r="AE553" s="40">
        <v>0.041666666666666664</v>
      </c>
      <c r="AG553" s="39" t="s">
        <v>657</v>
      </c>
      <c r="AJ553" s="61" t="s">
        <v>1323</v>
      </c>
      <c r="AL553" s="42" t="s">
        <v>136</v>
      </c>
      <c r="AP553" s="43" t="str">
        <f t="shared" si="4"/>
        <v>REALIZADO</v>
      </c>
      <c r="AV553" s="44" t="s">
        <v>46</v>
      </c>
      <c r="AW553" s="45"/>
      <c r="AX553" s="35"/>
    </row>
    <row r="554">
      <c r="A554" s="24"/>
      <c r="B554" s="36" t="s">
        <v>41</v>
      </c>
      <c r="C554" s="37">
        <v>45943.0</v>
      </c>
      <c r="F554" s="38">
        <v>0.7083333333333334</v>
      </c>
      <c r="I554" s="39" t="s">
        <v>1324</v>
      </c>
      <c r="S554" s="39" t="s">
        <v>1325</v>
      </c>
      <c r="AE554" s="40">
        <v>0.010416666666666666</v>
      </c>
      <c r="AG554" s="39" t="s">
        <v>44</v>
      </c>
      <c r="AJ554" s="61" t="s">
        <v>1326</v>
      </c>
      <c r="AL554" s="42" t="s">
        <v>1327</v>
      </c>
      <c r="AP554" s="43" t="str">
        <f t="shared" si="4"/>
        <v>REALIZADO</v>
      </c>
      <c r="AV554" s="44" t="s">
        <v>46</v>
      </c>
      <c r="AW554" s="45"/>
      <c r="AX554" s="35"/>
    </row>
    <row r="555">
      <c r="A555" s="24"/>
      <c r="B555" s="36" t="s">
        <v>41</v>
      </c>
      <c r="C555" s="37">
        <v>45943.0</v>
      </c>
      <c r="F555" s="38">
        <v>0.875</v>
      </c>
      <c r="I555" s="39" t="s">
        <v>1328</v>
      </c>
      <c r="S555" s="39" t="s">
        <v>185</v>
      </c>
      <c r="AE555" s="40">
        <v>0.003472222222222222</v>
      </c>
      <c r="AG555" s="39" t="s">
        <v>44</v>
      </c>
      <c r="AJ555" s="61" t="s">
        <v>1329</v>
      </c>
      <c r="AL555" s="42" t="s">
        <v>1299</v>
      </c>
      <c r="AP555" s="43" t="str">
        <f t="shared" si="4"/>
        <v>REALIZADO</v>
      </c>
      <c r="AV555" s="44" t="s">
        <v>46</v>
      </c>
      <c r="AW555" s="45"/>
      <c r="AX555" s="35"/>
    </row>
    <row r="556">
      <c r="A556" s="24"/>
      <c r="B556" s="36" t="s">
        <v>41</v>
      </c>
      <c r="C556" s="37">
        <v>45951.0</v>
      </c>
      <c r="F556" s="38">
        <v>0.4791666666666667</v>
      </c>
      <c r="I556" s="39" t="s">
        <v>680</v>
      </c>
      <c r="S556" s="39" t="s">
        <v>268</v>
      </c>
      <c r="AE556" s="40">
        <v>0.027777777777777776</v>
      </c>
      <c r="AG556" s="39" t="s">
        <v>657</v>
      </c>
      <c r="AJ556" s="61" t="s">
        <v>1330</v>
      </c>
      <c r="AL556" s="42" t="s">
        <v>56</v>
      </c>
      <c r="AP556" s="43" t="str">
        <f t="shared" si="4"/>
        <v>REALIZADO</v>
      </c>
      <c r="AV556" s="44" t="s">
        <v>46</v>
      </c>
      <c r="AW556" s="45"/>
      <c r="AX556" s="35"/>
    </row>
    <row r="557">
      <c r="A557" s="24"/>
      <c r="B557" s="36" t="s">
        <v>41</v>
      </c>
      <c r="C557" s="37">
        <v>45951.0</v>
      </c>
      <c r="F557" s="38">
        <v>0.9166666666666666</v>
      </c>
      <c r="I557" s="39" t="s">
        <v>1331</v>
      </c>
      <c r="S557" s="39" t="s">
        <v>185</v>
      </c>
      <c r="AE557" s="40">
        <v>0.003472222222222222</v>
      </c>
      <c r="AG557" s="39" t="s">
        <v>44</v>
      </c>
      <c r="AJ557" s="61" t="s">
        <v>1332</v>
      </c>
      <c r="AL557" s="42" t="s">
        <v>82</v>
      </c>
      <c r="AP557" s="43" t="str">
        <f t="shared" si="4"/>
        <v>REALIZADO</v>
      </c>
      <c r="AV557" s="44" t="s">
        <v>46</v>
      </c>
      <c r="AW557" s="45"/>
      <c r="AX557" s="35"/>
    </row>
    <row r="558">
      <c r="A558" s="24"/>
      <c r="B558" s="36" t="s">
        <v>41</v>
      </c>
      <c r="C558" s="37">
        <v>45952.0</v>
      </c>
      <c r="F558" s="38">
        <v>0.5</v>
      </c>
      <c r="I558" s="39" t="s">
        <v>1333</v>
      </c>
      <c r="S558" s="39" t="s">
        <v>414</v>
      </c>
      <c r="AE558" s="40">
        <v>0.08333333333333333</v>
      </c>
      <c r="AG558" s="39" t="s">
        <v>703</v>
      </c>
      <c r="AJ558" s="41" t="s">
        <v>44</v>
      </c>
      <c r="AL558" s="42" t="s">
        <v>414</v>
      </c>
      <c r="AP558" s="43" t="str">
        <f t="shared" si="4"/>
        <v>REALIZADO</v>
      </c>
      <c r="AV558" s="44" t="s">
        <v>46</v>
      </c>
      <c r="AW558" s="45"/>
      <c r="AX558" s="35"/>
    </row>
    <row r="559">
      <c r="A559" s="24"/>
      <c r="B559" s="36" t="s">
        <v>41</v>
      </c>
      <c r="C559" s="37">
        <v>45952.0</v>
      </c>
      <c r="F559" s="38">
        <v>0.5</v>
      </c>
      <c r="I559" s="39" t="s">
        <v>1334</v>
      </c>
      <c r="S559" s="39" t="s">
        <v>66</v>
      </c>
      <c r="AE559" s="40">
        <v>0.041666666666666664</v>
      </c>
      <c r="AG559" s="39" t="s">
        <v>67</v>
      </c>
      <c r="AJ559" s="61" t="s">
        <v>1335</v>
      </c>
      <c r="AL559" s="42" t="s">
        <v>45</v>
      </c>
      <c r="AP559" s="43" t="str">
        <f t="shared" si="4"/>
        <v>REALIZADO</v>
      </c>
      <c r="AV559" s="44" t="s">
        <v>46</v>
      </c>
      <c r="AW559" s="45"/>
      <c r="AX559" s="35"/>
    </row>
    <row r="560">
      <c r="A560" s="24"/>
      <c r="B560" s="36" t="s">
        <v>41</v>
      </c>
      <c r="C560" s="37">
        <v>45953.0</v>
      </c>
      <c r="F560" s="38">
        <v>0.7083333333333334</v>
      </c>
      <c r="I560" s="39" t="s">
        <v>1320</v>
      </c>
      <c r="S560" s="39" t="s">
        <v>66</v>
      </c>
      <c r="AE560" s="40">
        <v>0.041666666666666664</v>
      </c>
      <c r="AG560" s="39" t="s">
        <v>1047</v>
      </c>
      <c r="AJ560" s="61" t="s">
        <v>1336</v>
      </c>
      <c r="AL560" s="42" t="s">
        <v>136</v>
      </c>
      <c r="AP560" s="43" t="str">
        <f t="shared" si="4"/>
        <v>REALIZADO</v>
      </c>
      <c r="AV560" s="44" t="s">
        <v>46</v>
      </c>
      <c r="AW560" s="45"/>
      <c r="AX560" s="35"/>
    </row>
    <row r="561">
      <c r="A561" s="24"/>
      <c r="B561" s="36" t="s">
        <v>41</v>
      </c>
      <c r="C561" s="37">
        <v>45953.0</v>
      </c>
      <c r="F561" s="38">
        <v>0.8125</v>
      </c>
      <c r="I561" s="39" t="s">
        <v>1337</v>
      </c>
      <c r="S561" s="39" t="s">
        <v>233</v>
      </c>
      <c r="AE561" s="40">
        <v>0.0625</v>
      </c>
      <c r="AG561" s="39" t="s">
        <v>657</v>
      </c>
      <c r="AJ561" s="61" t="s">
        <v>1338</v>
      </c>
      <c r="AL561" s="42" t="s">
        <v>82</v>
      </c>
      <c r="AP561" s="43" t="str">
        <f t="shared" si="4"/>
        <v>REALIZADO</v>
      </c>
      <c r="AV561" s="44" t="s">
        <v>46</v>
      </c>
      <c r="AW561" s="45"/>
      <c r="AX561" s="35"/>
    </row>
    <row r="562">
      <c r="A562" s="24"/>
      <c r="B562" s="36" t="s">
        <v>41</v>
      </c>
      <c r="C562" s="37">
        <v>45958.0</v>
      </c>
      <c r="F562" s="38">
        <v>0.7916666666666666</v>
      </c>
      <c r="I562" s="39" t="s">
        <v>1339</v>
      </c>
      <c r="S562" s="39" t="s">
        <v>233</v>
      </c>
      <c r="AE562" s="40">
        <v>0.0625</v>
      </c>
      <c r="AG562" s="39" t="s">
        <v>1340</v>
      </c>
      <c r="AJ562" s="61" t="s">
        <v>1341</v>
      </c>
      <c r="AL562" s="42" t="s">
        <v>82</v>
      </c>
      <c r="AP562" s="43" t="str">
        <f t="shared" si="4"/>
        <v>REALIZADO</v>
      </c>
      <c r="AV562" s="44" t="s">
        <v>46</v>
      </c>
      <c r="AW562" s="45"/>
      <c r="AX562" s="35"/>
    </row>
    <row r="563">
      <c r="A563" s="24"/>
      <c r="B563" s="36" t="s">
        <v>41</v>
      </c>
      <c r="C563" s="37">
        <v>45959.0</v>
      </c>
      <c r="F563" s="38">
        <v>0.84375</v>
      </c>
      <c r="I563" s="39" t="s">
        <v>1342</v>
      </c>
      <c r="S563" s="39" t="s">
        <v>185</v>
      </c>
      <c r="AE563" s="40">
        <v>0.003472222222222222</v>
      </c>
      <c r="AG563" s="39" t="s">
        <v>44</v>
      </c>
      <c r="AJ563" s="61" t="s">
        <v>1343</v>
      </c>
      <c r="AL563" s="42" t="s">
        <v>56</v>
      </c>
      <c r="AP563" s="43" t="str">
        <f t="shared" si="4"/>
        <v>REALIZADO</v>
      </c>
      <c r="AV563" s="44" t="s">
        <v>46</v>
      </c>
      <c r="AW563" s="45"/>
      <c r="AX563" s="35"/>
    </row>
    <row r="564">
      <c r="A564" s="24"/>
      <c r="B564" s="36" t="s">
        <v>41</v>
      </c>
      <c r="C564" s="37">
        <v>45960.0</v>
      </c>
      <c r="F564" s="38">
        <v>0.5</v>
      </c>
      <c r="I564" s="39" t="s">
        <v>1344</v>
      </c>
      <c r="S564" s="39" t="s">
        <v>268</v>
      </c>
      <c r="AE564" s="40">
        <v>0.024305555555555556</v>
      </c>
      <c r="AG564" s="39" t="s">
        <v>44</v>
      </c>
      <c r="AJ564" s="61" t="s">
        <v>1345</v>
      </c>
      <c r="AL564" s="42" t="s">
        <v>45</v>
      </c>
      <c r="AP564" s="43" t="str">
        <f t="shared" si="4"/>
        <v>REALIZADO</v>
      </c>
      <c r="AV564" s="44" t="s">
        <v>46</v>
      </c>
      <c r="AW564" s="45"/>
      <c r="AX564" s="35"/>
    </row>
    <row r="565">
      <c r="A565" s="24"/>
      <c r="B565" s="36" t="s">
        <v>34</v>
      </c>
      <c r="C565" s="37">
        <v>45962.0</v>
      </c>
      <c r="F565" s="38">
        <v>0.5104166666666666</v>
      </c>
      <c r="I565" s="39" t="s">
        <v>1346</v>
      </c>
      <c r="S565" s="39" t="s">
        <v>857</v>
      </c>
      <c r="AE565" s="40">
        <v>0.19791666666666666</v>
      </c>
      <c r="AG565" s="39" t="s">
        <v>1347</v>
      </c>
      <c r="AJ565" s="41" t="s">
        <v>44</v>
      </c>
      <c r="AL565" s="42" t="s">
        <v>45</v>
      </c>
      <c r="AP565" s="43" t="str">
        <f t="shared" si="4"/>
        <v>ABORTIVA</v>
      </c>
      <c r="AV565" s="44" t="s">
        <v>57</v>
      </c>
      <c r="AW565" s="45"/>
      <c r="AX565" s="35"/>
    </row>
    <row r="566">
      <c r="A566" s="24"/>
      <c r="B566" s="36" t="s">
        <v>41</v>
      </c>
      <c r="C566" s="37">
        <v>45965.0</v>
      </c>
      <c r="F566" s="38">
        <v>0.625</v>
      </c>
      <c r="I566" s="39" t="s">
        <v>954</v>
      </c>
      <c r="S566" s="39" t="s">
        <v>185</v>
      </c>
      <c r="AE566" s="40">
        <v>0.003472222222222222</v>
      </c>
      <c r="AG566" s="39" t="s">
        <v>44</v>
      </c>
      <c r="AJ566" s="61" t="s">
        <v>1348</v>
      </c>
      <c r="AL566" s="42" t="s">
        <v>45</v>
      </c>
      <c r="AP566" s="43" t="str">
        <f t="shared" si="4"/>
        <v>REALIZADO</v>
      </c>
      <c r="AV566" s="44" t="s">
        <v>46</v>
      </c>
      <c r="AW566" s="45"/>
      <c r="AX566" s="35"/>
    </row>
    <row r="567">
      <c r="A567" s="24"/>
      <c r="B567" s="36" t="s">
        <v>34</v>
      </c>
      <c r="C567" s="37">
        <v>45969.0</v>
      </c>
      <c r="F567" s="38">
        <v>0.041666666666666664</v>
      </c>
      <c r="I567" s="39" t="s">
        <v>1346</v>
      </c>
      <c r="S567" s="39" t="s">
        <v>1349</v>
      </c>
      <c r="AE567" s="40">
        <v>0.4513888888888889</v>
      </c>
      <c r="AG567" s="39" t="s">
        <v>1350</v>
      </c>
      <c r="AJ567" s="41" t="s">
        <v>1351</v>
      </c>
      <c r="AL567" s="42" t="s">
        <v>45</v>
      </c>
      <c r="AP567" s="43" t="str">
        <f t="shared" si="4"/>
        <v>REALIZADO</v>
      </c>
      <c r="AV567" s="44" t="s">
        <v>46</v>
      </c>
      <c r="AW567" s="45"/>
      <c r="AX567" s="35"/>
    </row>
    <row r="568">
      <c r="A568" s="24"/>
      <c r="B568" s="36" t="s">
        <v>41</v>
      </c>
      <c r="C568" s="37">
        <v>45969.0</v>
      </c>
      <c r="F568" s="38">
        <v>0.7916666666666666</v>
      </c>
      <c r="I568" s="39" t="s">
        <v>1352</v>
      </c>
      <c r="S568" s="39" t="s">
        <v>233</v>
      </c>
      <c r="AE568" s="40">
        <v>0.08333333333333333</v>
      </c>
      <c r="AG568" s="39" t="s">
        <v>1353</v>
      </c>
      <c r="AJ568" s="61" t="s">
        <v>1354</v>
      </c>
      <c r="AL568" s="42" t="s">
        <v>82</v>
      </c>
      <c r="AP568" s="43" t="str">
        <f t="shared" si="4"/>
        <v>REALIZADO</v>
      </c>
      <c r="AV568" s="44" t="s">
        <v>46</v>
      </c>
      <c r="AW568" s="45"/>
      <c r="AX568" s="35"/>
    </row>
    <row r="569">
      <c r="A569" s="24"/>
      <c r="B569" s="36" t="s">
        <v>34</v>
      </c>
      <c r="C569" s="37">
        <v>45972.0</v>
      </c>
      <c r="F569" s="38">
        <v>0.5</v>
      </c>
      <c r="I569" s="39" t="s">
        <v>1355</v>
      </c>
      <c r="S569" s="39" t="s">
        <v>89</v>
      </c>
      <c r="AE569" s="40">
        <v>0.2465277777777778</v>
      </c>
      <c r="AG569" s="39" t="s">
        <v>1356</v>
      </c>
      <c r="AJ569" s="41" t="s">
        <v>1357</v>
      </c>
      <c r="AL569" s="42" t="s">
        <v>45</v>
      </c>
      <c r="AP569" s="43" t="str">
        <f t="shared" si="4"/>
        <v>REALIZADO</v>
      </c>
      <c r="AV569" s="44" t="s">
        <v>46</v>
      </c>
      <c r="AW569" s="45"/>
      <c r="AX569" s="35"/>
    </row>
    <row r="570">
      <c r="A570" s="24"/>
      <c r="B570" s="36" t="s">
        <v>41</v>
      </c>
      <c r="C570" s="37">
        <v>45972.0</v>
      </c>
      <c r="F570" s="38">
        <v>0.8125</v>
      </c>
      <c r="I570" s="39" t="s">
        <v>925</v>
      </c>
      <c r="S570" s="39" t="s">
        <v>185</v>
      </c>
      <c r="AE570" s="40">
        <v>0.003472222222222222</v>
      </c>
      <c r="AG570" s="39" t="s">
        <v>44</v>
      </c>
      <c r="AJ570" s="61" t="s">
        <v>1358</v>
      </c>
      <c r="AL570" s="42" t="s">
        <v>136</v>
      </c>
      <c r="AP570" s="43" t="str">
        <f t="shared" si="4"/>
        <v>REALIZADO</v>
      </c>
      <c r="AV570" s="44" t="s">
        <v>46</v>
      </c>
      <c r="AW570" s="45"/>
      <c r="AX570" s="35"/>
    </row>
    <row r="571">
      <c r="A571" s="24"/>
      <c r="B571" s="36" t="s">
        <v>41</v>
      </c>
      <c r="C571" s="37">
        <v>45972.0</v>
      </c>
      <c r="F571" s="38">
        <v>0.8333333333333334</v>
      </c>
      <c r="I571" s="39" t="s">
        <v>970</v>
      </c>
      <c r="S571" s="39" t="s">
        <v>268</v>
      </c>
      <c r="AE571" s="40">
        <v>0.041666666666666664</v>
      </c>
      <c r="AG571" s="39" t="s">
        <v>788</v>
      </c>
      <c r="AJ571" s="61" t="s">
        <v>1359</v>
      </c>
      <c r="AL571" s="42" t="s">
        <v>136</v>
      </c>
      <c r="AP571" s="43" t="str">
        <f t="shared" si="4"/>
        <v>REALIZADO</v>
      </c>
      <c r="AV571" s="44" t="s">
        <v>46</v>
      </c>
      <c r="AW571" s="45"/>
      <c r="AX571" s="35"/>
    </row>
    <row r="572">
      <c r="A572" s="24"/>
      <c r="B572" s="36" t="s">
        <v>34</v>
      </c>
      <c r="C572" s="37">
        <v>45974.0</v>
      </c>
      <c r="F572" s="38">
        <v>0.5416666666666666</v>
      </c>
      <c r="I572" s="39" t="s">
        <v>1360</v>
      </c>
      <c r="S572" s="39" t="s">
        <v>89</v>
      </c>
      <c r="AE572" s="40">
        <v>0.2465277777777778</v>
      </c>
      <c r="AG572" s="39" t="s">
        <v>1356</v>
      </c>
      <c r="AJ572" s="41" t="s">
        <v>1357</v>
      </c>
      <c r="AL572" s="42" t="s">
        <v>45</v>
      </c>
      <c r="AP572" s="43" t="str">
        <f t="shared" si="4"/>
        <v>REALIZADO</v>
      </c>
      <c r="AV572" s="44" t="s">
        <v>46</v>
      </c>
      <c r="AW572" s="45"/>
      <c r="AX572" s="35"/>
    </row>
    <row r="573">
      <c r="A573" s="24"/>
      <c r="B573" s="36" t="s">
        <v>41</v>
      </c>
      <c r="C573" s="37">
        <v>45978.0</v>
      </c>
      <c r="F573" s="38">
        <v>0.84375</v>
      </c>
      <c r="I573" s="39" t="s">
        <v>940</v>
      </c>
      <c r="S573" s="39" t="s">
        <v>185</v>
      </c>
      <c r="AE573" s="40">
        <v>0.003472222222222222</v>
      </c>
      <c r="AG573" s="39" t="s">
        <v>44</v>
      </c>
      <c r="AJ573" s="41" t="s">
        <v>44</v>
      </c>
      <c r="AL573" s="42" t="s">
        <v>45</v>
      </c>
      <c r="AP573" s="43" t="str">
        <f t="shared" si="4"/>
        <v>ABORTIVA</v>
      </c>
      <c r="AV573" s="44" t="s">
        <v>69</v>
      </c>
      <c r="AW573" s="45"/>
      <c r="AX573" s="35"/>
    </row>
    <row r="574">
      <c r="A574" s="24"/>
      <c r="B574" s="36" t="s">
        <v>41</v>
      </c>
      <c r="C574" s="37">
        <v>45979.0</v>
      </c>
      <c r="F574" s="38">
        <v>0.7708333333333334</v>
      </c>
      <c r="I574" s="39" t="s">
        <v>1361</v>
      </c>
      <c r="S574" s="39" t="s">
        <v>66</v>
      </c>
      <c r="AE574" s="40">
        <v>0.041666666666666664</v>
      </c>
      <c r="AG574" s="39" t="s">
        <v>918</v>
      </c>
      <c r="AJ574" s="41" t="s">
        <v>44</v>
      </c>
      <c r="AL574" s="42" t="s">
        <v>82</v>
      </c>
      <c r="AP574" s="43" t="str">
        <f t="shared" si="4"/>
        <v>ABORTIVA</v>
      </c>
      <c r="AV574" s="44" t="s">
        <v>69</v>
      </c>
      <c r="AW574" s="45"/>
      <c r="AX574" s="35"/>
    </row>
    <row r="575">
      <c r="A575" s="24"/>
      <c r="B575" s="36" t="s">
        <v>41</v>
      </c>
      <c r="C575" s="37">
        <v>45985.0</v>
      </c>
      <c r="F575" s="38">
        <v>0.5</v>
      </c>
      <c r="I575" s="39" t="s">
        <v>1362</v>
      </c>
      <c r="S575" s="39" t="s">
        <v>185</v>
      </c>
      <c r="AE575" s="40">
        <v>0.003472222222222222</v>
      </c>
      <c r="AG575" s="39" t="s">
        <v>44</v>
      </c>
      <c r="AJ575" s="61" t="s">
        <v>1363</v>
      </c>
      <c r="AL575" s="42" t="s">
        <v>56</v>
      </c>
      <c r="AP575" s="43" t="str">
        <f t="shared" si="4"/>
        <v>REALIZADO</v>
      </c>
      <c r="AV575" s="44" t="s">
        <v>46</v>
      </c>
      <c r="AW575" s="45"/>
      <c r="AX575" s="35"/>
    </row>
    <row r="576">
      <c r="A576" s="24"/>
      <c r="B576" s="36" t="s">
        <v>41</v>
      </c>
      <c r="C576" s="37">
        <v>45985.0</v>
      </c>
      <c r="F576" s="38">
        <v>0.7083333333333334</v>
      </c>
      <c r="I576" s="39" t="s">
        <v>1364</v>
      </c>
      <c r="S576" s="39" t="s">
        <v>414</v>
      </c>
      <c r="AE576" s="40">
        <v>0.08333333333333333</v>
      </c>
      <c r="AG576" s="39" t="s">
        <v>703</v>
      </c>
      <c r="AJ576" s="41" t="s">
        <v>44</v>
      </c>
      <c r="AL576" s="42" t="s">
        <v>414</v>
      </c>
      <c r="AP576" s="43" t="str">
        <f t="shared" si="4"/>
        <v>REALIZADO</v>
      </c>
      <c r="AV576" s="44" t="s">
        <v>46</v>
      </c>
      <c r="AW576" s="45"/>
      <c r="AX576" s="35"/>
    </row>
    <row r="577">
      <c r="A577" s="24"/>
      <c r="B577" s="36" t="s">
        <v>34</v>
      </c>
      <c r="C577" s="37">
        <v>45985.0</v>
      </c>
      <c r="F577" s="38">
        <v>0.6666666666666666</v>
      </c>
      <c r="I577" s="39" t="s">
        <v>1365</v>
      </c>
      <c r="S577" s="39" t="s">
        <v>298</v>
      </c>
      <c r="AE577" s="40">
        <v>0.20833333333333334</v>
      </c>
      <c r="AG577" s="39" t="s">
        <v>1366</v>
      </c>
      <c r="AJ577" s="41" t="s">
        <v>1367</v>
      </c>
      <c r="AL577" s="42" t="s">
        <v>56</v>
      </c>
      <c r="AP577" s="43" t="str">
        <f t="shared" si="4"/>
        <v>REALIZADO</v>
      </c>
      <c r="AV577" s="44" t="s">
        <v>46</v>
      </c>
      <c r="AW577" s="45"/>
      <c r="AX577" s="35"/>
    </row>
    <row r="578">
      <c r="A578" s="24"/>
      <c r="B578" s="36" t="s">
        <v>41</v>
      </c>
      <c r="C578" s="37">
        <v>45985.0</v>
      </c>
      <c r="F578" s="38">
        <v>0.7916666666666666</v>
      </c>
      <c r="I578" s="39" t="s">
        <v>1368</v>
      </c>
      <c r="S578" s="39" t="s">
        <v>185</v>
      </c>
      <c r="AE578" s="40">
        <v>0.003472222222222222</v>
      </c>
      <c r="AG578" s="39" t="s">
        <v>44</v>
      </c>
      <c r="AJ578" s="61" t="s">
        <v>1369</v>
      </c>
      <c r="AL578" s="42" t="s">
        <v>136</v>
      </c>
      <c r="AP578" s="43" t="str">
        <f t="shared" si="4"/>
        <v>REALIZADO</v>
      </c>
      <c r="AV578" s="44" t="s">
        <v>46</v>
      </c>
      <c r="AW578" s="45"/>
      <c r="AX578" s="35"/>
    </row>
    <row r="579">
      <c r="A579" s="24"/>
      <c r="B579" s="36" t="s">
        <v>41</v>
      </c>
      <c r="C579" s="37">
        <v>45988.0</v>
      </c>
      <c r="F579" s="38">
        <v>0.5833333333333334</v>
      </c>
      <c r="I579" s="39" t="s">
        <v>1370</v>
      </c>
      <c r="S579" s="39" t="s">
        <v>503</v>
      </c>
      <c r="AE579" s="40">
        <v>0.041666666666666664</v>
      </c>
      <c r="AG579" s="39" t="s">
        <v>918</v>
      </c>
      <c r="AJ579" s="61" t="s">
        <v>1371</v>
      </c>
      <c r="AL579" s="42" t="s">
        <v>82</v>
      </c>
      <c r="AP579" s="43" t="str">
        <f t="shared" si="4"/>
        <v>REALIZADO</v>
      </c>
      <c r="AV579" s="44" t="s">
        <v>46</v>
      </c>
      <c r="AW579" s="45"/>
      <c r="AX579" s="35"/>
    </row>
    <row r="580">
      <c r="A580" s="24"/>
      <c r="B580" s="36" t="s">
        <v>41</v>
      </c>
      <c r="C580" s="37">
        <v>45992.0</v>
      </c>
      <c r="F580" s="38">
        <v>0.5</v>
      </c>
      <c r="I580" s="39" t="s">
        <v>1248</v>
      </c>
      <c r="S580" s="39" t="s">
        <v>233</v>
      </c>
      <c r="AE580" s="40">
        <v>0.0625</v>
      </c>
      <c r="AG580" s="39" t="s">
        <v>1340</v>
      </c>
      <c r="AJ580" s="41" t="s">
        <v>44</v>
      </c>
      <c r="AL580" s="42" t="s">
        <v>259</v>
      </c>
      <c r="AP580" s="43" t="str">
        <f t="shared" si="4"/>
        <v>ABORTIVA</v>
      </c>
      <c r="AV580" s="44" t="s">
        <v>69</v>
      </c>
      <c r="AW580" s="45"/>
      <c r="AX580" s="35"/>
    </row>
    <row r="581">
      <c r="A581" s="24"/>
      <c r="B581" s="36" t="s">
        <v>34</v>
      </c>
      <c r="C581" s="37">
        <v>45992.0</v>
      </c>
      <c r="F581" s="38">
        <v>0.5625</v>
      </c>
      <c r="I581" s="39" t="s">
        <v>1372</v>
      </c>
      <c r="S581" s="39" t="s">
        <v>270</v>
      </c>
      <c r="AE581" s="40">
        <v>0.0625</v>
      </c>
      <c r="AG581" s="39" t="s">
        <v>1373</v>
      </c>
      <c r="AJ581" s="41" t="s">
        <v>1374</v>
      </c>
      <c r="AL581" s="42" t="s">
        <v>82</v>
      </c>
      <c r="AP581" s="43" t="str">
        <f t="shared" si="4"/>
        <v>REALIZADO</v>
      </c>
      <c r="AV581" s="44" t="s">
        <v>46</v>
      </c>
      <c r="AW581" s="45"/>
      <c r="AX581" s="35"/>
    </row>
    <row r="582">
      <c r="A582" s="24"/>
      <c r="B582" s="36" t="s">
        <v>34</v>
      </c>
      <c r="C582" s="37">
        <v>45993.0</v>
      </c>
      <c r="F582" s="38">
        <v>0.4791666666666667</v>
      </c>
      <c r="I582" s="39" t="s">
        <v>1375</v>
      </c>
      <c r="S582" s="39" t="s">
        <v>1376</v>
      </c>
      <c r="AE582" s="40">
        <v>0.2743055555555556</v>
      </c>
      <c r="AG582" s="39" t="s">
        <v>1377</v>
      </c>
      <c r="AJ582" s="41" t="s">
        <v>1378</v>
      </c>
      <c r="AL582" s="42" t="s">
        <v>82</v>
      </c>
      <c r="AP582" s="43" t="str">
        <f t="shared" si="4"/>
        <v>REALIZADO</v>
      </c>
      <c r="AV582" s="44" t="s">
        <v>46</v>
      </c>
      <c r="AW582" s="45"/>
      <c r="AX582" s="35"/>
    </row>
    <row r="583">
      <c r="A583" s="24"/>
      <c r="B583" s="36" t="s">
        <v>34</v>
      </c>
      <c r="C583" s="37">
        <v>45994.0</v>
      </c>
      <c r="F583" s="38">
        <v>0.5208333333333334</v>
      </c>
      <c r="I583" s="39" t="s">
        <v>1379</v>
      </c>
      <c r="S583" s="39" t="s">
        <v>1380</v>
      </c>
      <c r="AE583" s="40">
        <v>0.3784722222222222</v>
      </c>
      <c r="AG583" s="39" t="s">
        <v>1381</v>
      </c>
      <c r="AJ583" s="41" t="s">
        <v>1382</v>
      </c>
      <c r="AL583" s="42" t="s">
        <v>53</v>
      </c>
      <c r="AP583" s="43" t="str">
        <f t="shared" si="4"/>
        <v>REALIZADO</v>
      </c>
      <c r="AV583" s="44" t="s">
        <v>46</v>
      </c>
      <c r="AW583" s="45"/>
      <c r="AX583" s="35"/>
    </row>
    <row r="584">
      <c r="A584" s="24"/>
      <c r="B584" s="36" t="s">
        <v>41</v>
      </c>
      <c r="C584" s="37">
        <v>45994.0</v>
      </c>
      <c r="F584" s="38">
        <v>0.8645833333333334</v>
      </c>
      <c r="I584" s="39" t="s">
        <v>1383</v>
      </c>
      <c r="S584" s="39" t="s">
        <v>185</v>
      </c>
      <c r="AE584" s="40">
        <v>0.003472222222222222</v>
      </c>
      <c r="AG584" s="39" t="s">
        <v>44</v>
      </c>
      <c r="AJ584" s="61" t="s">
        <v>1384</v>
      </c>
      <c r="AL584" s="42" t="s">
        <v>56</v>
      </c>
      <c r="AP584" s="43" t="str">
        <f t="shared" si="4"/>
        <v>REALIZADO</v>
      </c>
      <c r="AV584" s="44" t="s">
        <v>46</v>
      </c>
      <c r="AW584" s="45"/>
      <c r="AX584" s="35"/>
    </row>
    <row r="585">
      <c r="A585" s="24"/>
      <c r="B585" s="36" t="s">
        <v>41</v>
      </c>
      <c r="C585" s="37">
        <v>45994.0</v>
      </c>
      <c r="F585" s="38">
        <v>0.375</v>
      </c>
      <c r="I585" s="39" t="s">
        <v>1385</v>
      </c>
      <c r="S585" s="39" t="s">
        <v>1386</v>
      </c>
      <c r="AE585" s="40">
        <v>0.027777777777777776</v>
      </c>
      <c r="AG585" s="39" t="s">
        <v>44</v>
      </c>
      <c r="AJ585" s="61" t="s">
        <v>1387</v>
      </c>
      <c r="AL585" s="42" t="s">
        <v>259</v>
      </c>
      <c r="AP585" s="43" t="str">
        <f t="shared" si="4"/>
        <v>REALIZADO</v>
      </c>
      <c r="AV585" s="44" t="s">
        <v>46</v>
      </c>
      <c r="AW585" s="45"/>
      <c r="AX585" s="35"/>
    </row>
    <row r="586">
      <c r="A586" s="24"/>
      <c r="B586" s="36" t="s">
        <v>41</v>
      </c>
      <c r="C586" s="37">
        <v>45994.0</v>
      </c>
      <c r="F586" s="38">
        <v>0.4375</v>
      </c>
      <c r="I586" s="39" t="s">
        <v>1388</v>
      </c>
      <c r="S586" s="39" t="s">
        <v>1389</v>
      </c>
      <c r="AE586" s="40">
        <v>0.041666666666666664</v>
      </c>
      <c r="AG586" s="39" t="s">
        <v>44</v>
      </c>
      <c r="AJ586" s="61" t="s">
        <v>1390</v>
      </c>
      <c r="AL586" s="42" t="s">
        <v>259</v>
      </c>
      <c r="AP586" s="43" t="str">
        <f t="shared" si="4"/>
        <v>REALIZADO</v>
      </c>
      <c r="AV586" s="44" t="s">
        <v>46</v>
      </c>
      <c r="AW586" s="45"/>
      <c r="AX586" s="35"/>
    </row>
    <row r="587">
      <c r="A587" s="24"/>
      <c r="B587" s="36" t="s">
        <v>41</v>
      </c>
      <c r="C587" s="37">
        <v>45994.0</v>
      </c>
      <c r="F587" s="38">
        <v>0.4895833333333333</v>
      </c>
      <c r="I587" s="39" t="s">
        <v>1388</v>
      </c>
      <c r="S587" s="39" t="s">
        <v>1389</v>
      </c>
      <c r="AE587" s="40">
        <v>0.041666666666666664</v>
      </c>
      <c r="AG587" s="39" t="s">
        <v>44</v>
      </c>
      <c r="AJ587" s="61" t="s">
        <v>1390</v>
      </c>
      <c r="AL587" s="42" t="s">
        <v>259</v>
      </c>
      <c r="AP587" s="43" t="str">
        <f t="shared" si="4"/>
        <v>REALIZADO</v>
      </c>
      <c r="AV587" s="44" t="s">
        <v>46</v>
      </c>
      <c r="AW587" s="45"/>
      <c r="AX587" s="35"/>
    </row>
    <row r="588">
      <c r="A588" s="24"/>
      <c r="B588" s="36" t="s">
        <v>41</v>
      </c>
      <c r="C588" s="37">
        <v>45994.0</v>
      </c>
      <c r="F588" s="38">
        <v>0.5416666666666666</v>
      </c>
      <c r="I588" s="39" t="s">
        <v>1391</v>
      </c>
      <c r="S588" s="39" t="s">
        <v>1389</v>
      </c>
      <c r="AE588" s="40">
        <v>0.041666666666666664</v>
      </c>
      <c r="AG588" s="39" t="s">
        <v>44</v>
      </c>
      <c r="AJ588" s="61" t="s">
        <v>1390</v>
      </c>
      <c r="AL588" s="42" t="s">
        <v>259</v>
      </c>
      <c r="AP588" s="43" t="str">
        <f t="shared" si="4"/>
        <v>REALIZADO</v>
      </c>
      <c r="AV588" s="44" t="s">
        <v>46</v>
      </c>
      <c r="AW588" s="45"/>
      <c r="AX588" s="35"/>
    </row>
    <row r="589">
      <c r="A589" s="24"/>
      <c r="B589" s="36" t="s">
        <v>41</v>
      </c>
      <c r="C589" s="37">
        <v>45994.0</v>
      </c>
      <c r="F589" s="38">
        <v>0.6041666666666666</v>
      </c>
      <c r="I589" s="39" t="s">
        <v>1392</v>
      </c>
      <c r="S589" s="39" t="s">
        <v>1386</v>
      </c>
      <c r="AE589" s="40">
        <v>0.027777777777777776</v>
      </c>
      <c r="AG589" s="39" t="s">
        <v>44</v>
      </c>
      <c r="AJ589" s="61" t="s">
        <v>1387</v>
      </c>
      <c r="AL589" s="42" t="s">
        <v>259</v>
      </c>
      <c r="AP589" s="43" t="str">
        <f t="shared" si="4"/>
        <v>REALIZADO</v>
      </c>
      <c r="AV589" s="44" t="s">
        <v>46</v>
      </c>
      <c r="AW589" s="45"/>
      <c r="AX589" s="35"/>
    </row>
    <row r="590">
      <c r="A590" s="24"/>
      <c r="B590" s="36" t="s">
        <v>34</v>
      </c>
      <c r="C590" s="37">
        <v>45994.0</v>
      </c>
      <c r="F590" s="38">
        <v>0.875</v>
      </c>
      <c r="I590" s="39" t="s">
        <v>1393</v>
      </c>
      <c r="S590" s="39" t="s">
        <v>1394</v>
      </c>
      <c r="AE590" s="40">
        <v>0.5</v>
      </c>
      <c r="AG590" s="39" t="s">
        <v>1395</v>
      </c>
      <c r="AJ590" s="62" t="s">
        <v>1396</v>
      </c>
      <c r="AL590" s="42" t="s">
        <v>82</v>
      </c>
      <c r="AP590" s="43" t="str">
        <f t="shared" si="4"/>
        <v>REALIZADO</v>
      </c>
      <c r="AV590" s="44" t="s">
        <v>46</v>
      </c>
      <c r="AW590" s="45"/>
      <c r="AX590" s="35"/>
    </row>
    <row r="591">
      <c r="A591" s="24"/>
      <c r="B591" s="36" t="s">
        <v>34</v>
      </c>
      <c r="C591" s="37">
        <v>45995.0</v>
      </c>
      <c r="F591" s="38">
        <v>0.4166666666666667</v>
      </c>
      <c r="I591" s="39" t="s">
        <v>1397</v>
      </c>
      <c r="S591" s="39" t="s">
        <v>255</v>
      </c>
      <c r="AE591" s="40">
        <v>0.1111111111111111</v>
      </c>
      <c r="AG591" s="39" t="s">
        <v>1398</v>
      </c>
      <c r="AJ591" s="41" t="s">
        <v>1399</v>
      </c>
      <c r="AL591" s="42" t="s">
        <v>259</v>
      </c>
      <c r="AP591" s="43" t="str">
        <f t="shared" si="4"/>
        <v>REALIZADO</v>
      </c>
      <c r="AV591" s="44" t="s">
        <v>46</v>
      </c>
      <c r="AW591" s="45"/>
      <c r="AX591" s="35"/>
    </row>
    <row r="592">
      <c r="A592" s="24"/>
      <c r="B592" s="36" t="s">
        <v>34</v>
      </c>
      <c r="C592" s="37">
        <v>45995.0</v>
      </c>
      <c r="F592" s="38">
        <v>0.6111111111111112</v>
      </c>
      <c r="I592" s="39" t="s">
        <v>1400</v>
      </c>
      <c r="S592" s="39" t="s">
        <v>1401</v>
      </c>
      <c r="AE592" s="40">
        <v>0.5833333333333334</v>
      </c>
      <c r="AG592" s="39" t="s">
        <v>1402</v>
      </c>
      <c r="AJ592" s="41" t="s">
        <v>1403</v>
      </c>
      <c r="AL592" s="42" t="s">
        <v>259</v>
      </c>
      <c r="AP592" s="43" t="str">
        <f t="shared" si="4"/>
        <v>REALIZADO</v>
      </c>
      <c r="AV592" s="44" t="s">
        <v>46</v>
      </c>
      <c r="AW592" s="45"/>
      <c r="AX592" s="35"/>
    </row>
    <row r="593">
      <c r="A593" s="24"/>
      <c r="B593" s="36" t="s">
        <v>41</v>
      </c>
      <c r="C593" s="37">
        <v>45996.0</v>
      </c>
      <c r="F593" s="38">
        <v>0.5</v>
      </c>
      <c r="I593" s="39" t="s">
        <v>1404</v>
      </c>
      <c r="S593" s="39" t="s">
        <v>1405</v>
      </c>
      <c r="AE593" s="40">
        <v>0.0625</v>
      </c>
      <c r="AG593" s="39" t="s">
        <v>1340</v>
      </c>
      <c r="AJ593" s="61" t="s">
        <v>1406</v>
      </c>
      <c r="AL593" s="42" t="s">
        <v>259</v>
      </c>
      <c r="AP593" s="43" t="str">
        <f t="shared" si="4"/>
        <v>REALIZADO</v>
      </c>
      <c r="AV593" s="44" t="s">
        <v>46</v>
      </c>
      <c r="AW593" s="45"/>
      <c r="AX593" s="35"/>
    </row>
    <row r="594">
      <c r="A594" s="24"/>
      <c r="B594" s="36" t="s">
        <v>41</v>
      </c>
      <c r="C594" s="37">
        <v>45996.0</v>
      </c>
      <c r="F594" s="38">
        <v>0.5</v>
      </c>
      <c r="I594" s="39" t="s">
        <v>1407</v>
      </c>
      <c r="S594" s="39" t="s">
        <v>268</v>
      </c>
      <c r="AE594" s="40">
        <v>0.041666666666666664</v>
      </c>
      <c r="AG594" s="39" t="s">
        <v>788</v>
      </c>
      <c r="AJ594" s="61" t="s">
        <v>1408</v>
      </c>
      <c r="AL594" s="42" t="s">
        <v>56</v>
      </c>
      <c r="AP594" s="43" t="str">
        <f t="shared" si="4"/>
        <v>REALIZADO</v>
      </c>
      <c r="AV594" s="44" t="s">
        <v>46</v>
      </c>
      <c r="AW594" s="45"/>
      <c r="AX594" s="35"/>
    </row>
    <row r="595">
      <c r="A595" s="24"/>
      <c r="B595" s="36" t="s">
        <v>41</v>
      </c>
      <c r="C595" s="37">
        <v>45996.0</v>
      </c>
      <c r="F595" s="38">
        <v>0.5625</v>
      </c>
      <c r="I595" s="39" t="s">
        <v>1409</v>
      </c>
      <c r="S595" s="39" t="s">
        <v>268</v>
      </c>
      <c r="AE595" s="40">
        <v>0.041666666666666664</v>
      </c>
      <c r="AG595" s="39" t="s">
        <v>657</v>
      </c>
      <c r="AJ595" s="61" t="s">
        <v>1410</v>
      </c>
      <c r="AL595" s="42" t="s">
        <v>56</v>
      </c>
      <c r="AP595" s="43" t="str">
        <f t="shared" si="4"/>
        <v>REALIZADO</v>
      </c>
      <c r="AV595" s="44" t="s">
        <v>46</v>
      </c>
      <c r="AW595" s="45"/>
      <c r="AX595" s="35"/>
    </row>
    <row r="596">
      <c r="A596" s="24"/>
      <c r="B596" s="36" t="s">
        <v>34</v>
      </c>
      <c r="C596" s="37">
        <v>45996.0</v>
      </c>
      <c r="F596" s="38">
        <v>0.6666666666666666</v>
      </c>
      <c r="I596" s="39" t="s">
        <v>1411</v>
      </c>
      <c r="S596" s="39" t="s">
        <v>286</v>
      </c>
      <c r="AE596" s="40">
        <v>0.20833333333333334</v>
      </c>
      <c r="AG596" s="39" t="s">
        <v>176</v>
      </c>
      <c r="AJ596" s="41" t="s">
        <v>1412</v>
      </c>
      <c r="AL596" s="42" t="s">
        <v>56</v>
      </c>
      <c r="AP596" s="43" t="str">
        <f t="shared" si="4"/>
        <v>REALIZADO</v>
      </c>
      <c r="AV596" s="44" t="s">
        <v>46</v>
      </c>
      <c r="AW596" s="45"/>
      <c r="AX596" s="35"/>
    </row>
    <row r="597">
      <c r="A597" s="24"/>
      <c r="B597" s="36" t="s">
        <v>34</v>
      </c>
      <c r="C597" s="37">
        <v>45997.0</v>
      </c>
      <c r="F597" s="38">
        <v>0.4583333333333333</v>
      </c>
      <c r="I597" s="39" t="s">
        <v>1266</v>
      </c>
      <c r="S597" s="39" t="s">
        <v>1413</v>
      </c>
      <c r="AE597" s="40">
        <v>0.14583333333333334</v>
      </c>
      <c r="AG597" s="39" t="s">
        <v>176</v>
      </c>
      <c r="AJ597" s="41" t="s">
        <v>1414</v>
      </c>
      <c r="AL597" s="42" t="s">
        <v>56</v>
      </c>
      <c r="AP597" s="43" t="str">
        <f t="shared" si="4"/>
        <v>REALIZADO</v>
      </c>
      <c r="AV597" s="44" t="s">
        <v>46</v>
      </c>
      <c r="AW597" s="45"/>
      <c r="AX597" s="35"/>
    </row>
    <row r="598">
      <c r="A598" s="24"/>
      <c r="B598" s="36" t="s">
        <v>34</v>
      </c>
      <c r="C598" s="37">
        <v>45997.0</v>
      </c>
      <c r="F598" s="38">
        <v>0.7083333333333334</v>
      </c>
      <c r="I598" s="39" t="s">
        <v>1415</v>
      </c>
      <c r="S598" s="39" t="s">
        <v>1416</v>
      </c>
      <c r="AE598" s="40">
        <v>0.08680555555555555</v>
      </c>
      <c r="AG598" s="39" t="s">
        <v>176</v>
      </c>
      <c r="AJ598" s="41" t="s">
        <v>1417</v>
      </c>
      <c r="AL598" s="42" t="s">
        <v>56</v>
      </c>
      <c r="AP598" s="43" t="str">
        <f t="shared" si="4"/>
        <v>REALIZADO</v>
      </c>
      <c r="AV598" s="44" t="s">
        <v>46</v>
      </c>
      <c r="AW598" s="45"/>
      <c r="AX598" s="35"/>
    </row>
    <row r="599">
      <c r="A599" s="24"/>
      <c r="B599" s="36" t="s">
        <v>41</v>
      </c>
      <c r="C599" s="37">
        <v>45997.0</v>
      </c>
      <c r="F599" s="38">
        <v>0.7916666666666666</v>
      </c>
      <c r="I599" s="39" t="s">
        <v>1248</v>
      </c>
      <c r="S599" s="39" t="s">
        <v>268</v>
      </c>
      <c r="AE599" s="40">
        <v>0.10416666666666667</v>
      </c>
      <c r="AG599" s="39" t="s">
        <v>1353</v>
      </c>
      <c r="AJ599" s="61" t="s">
        <v>1418</v>
      </c>
      <c r="AL599" s="42" t="s">
        <v>259</v>
      </c>
      <c r="AP599" s="43" t="str">
        <f t="shared" si="4"/>
        <v>REALIZADO</v>
      </c>
      <c r="AV599" s="44" t="s">
        <v>46</v>
      </c>
      <c r="AW599" s="45"/>
      <c r="AX599" s="35"/>
    </row>
    <row r="600">
      <c r="A600" s="24"/>
      <c r="B600" s="36" t="s">
        <v>34</v>
      </c>
      <c r="C600" s="37">
        <v>45998.0</v>
      </c>
      <c r="F600" s="38">
        <v>0.4583333333333333</v>
      </c>
      <c r="I600" s="39" t="s">
        <v>1419</v>
      </c>
      <c r="S600" s="39" t="s">
        <v>1413</v>
      </c>
      <c r="AE600" s="40">
        <v>0.14583333333333334</v>
      </c>
      <c r="AG600" s="39" t="s">
        <v>176</v>
      </c>
      <c r="AJ600" s="41" t="s">
        <v>1420</v>
      </c>
      <c r="AL600" s="42" t="s">
        <v>56</v>
      </c>
      <c r="AP600" s="43" t="str">
        <f t="shared" si="4"/>
        <v>REALIZADO</v>
      </c>
      <c r="AV600" s="44" t="s">
        <v>46</v>
      </c>
      <c r="AW600" s="45"/>
      <c r="AX600" s="35"/>
    </row>
    <row r="601">
      <c r="A601" s="24"/>
      <c r="B601" s="36" t="s">
        <v>34</v>
      </c>
      <c r="C601" s="37">
        <v>45998.0</v>
      </c>
      <c r="F601" s="38">
        <v>0.7083333333333334</v>
      </c>
      <c r="I601" s="39" t="s">
        <v>1421</v>
      </c>
      <c r="S601" s="39" t="s">
        <v>1416</v>
      </c>
      <c r="AE601" s="40">
        <v>0.08680555555555555</v>
      </c>
      <c r="AG601" s="39" t="s">
        <v>176</v>
      </c>
      <c r="AJ601" s="41" t="s">
        <v>1422</v>
      </c>
      <c r="AL601" s="42" t="s">
        <v>56</v>
      </c>
      <c r="AP601" s="43" t="str">
        <f t="shared" si="4"/>
        <v>REALIZADO</v>
      </c>
      <c r="AV601" s="44" t="s">
        <v>46</v>
      </c>
      <c r="AW601" s="45"/>
      <c r="AX601" s="35"/>
    </row>
    <row r="602">
      <c r="A602" s="24"/>
      <c r="B602" s="36" t="s">
        <v>41</v>
      </c>
      <c r="C602" s="37">
        <v>45999.0</v>
      </c>
      <c r="F602" s="38">
        <v>0.375</v>
      </c>
      <c r="I602" s="39" t="s">
        <v>993</v>
      </c>
      <c r="S602" s="39" t="s">
        <v>1386</v>
      </c>
      <c r="AE602" s="40">
        <v>0.027777777777777776</v>
      </c>
      <c r="AG602" s="39" t="s">
        <v>1423</v>
      </c>
      <c r="AJ602" s="61" t="s">
        <v>1424</v>
      </c>
      <c r="AL602" s="42" t="s">
        <v>259</v>
      </c>
      <c r="AP602" s="43" t="str">
        <f t="shared" si="4"/>
        <v>REALIZADO</v>
      </c>
      <c r="AV602" s="44" t="s">
        <v>46</v>
      </c>
      <c r="AW602" s="45"/>
      <c r="AX602" s="35"/>
    </row>
    <row r="603">
      <c r="A603" s="24"/>
      <c r="B603" s="36" t="s">
        <v>41</v>
      </c>
      <c r="C603" s="37">
        <v>45999.0</v>
      </c>
      <c r="F603" s="38">
        <v>0.4375</v>
      </c>
      <c r="I603" s="39" t="s">
        <v>1425</v>
      </c>
      <c r="S603" s="39" t="s">
        <v>1389</v>
      </c>
      <c r="AE603" s="40">
        <v>0.041666666666666664</v>
      </c>
      <c r="AG603" s="39" t="s">
        <v>1426</v>
      </c>
      <c r="AJ603" s="61" t="s">
        <v>1427</v>
      </c>
      <c r="AL603" s="42" t="s">
        <v>259</v>
      </c>
      <c r="AP603" s="43" t="str">
        <f t="shared" si="4"/>
        <v>REALIZADO</v>
      </c>
      <c r="AV603" s="44" t="s">
        <v>46</v>
      </c>
      <c r="AW603" s="45"/>
      <c r="AX603" s="35"/>
    </row>
    <row r="604">
      <c r="A604" s="24"/>
      <c r="B604" s="36" t="s">
        <v>41</v>
      </c>
      <c r="C604" s="37">
        <v>45999.0</v>
      </c>
      <c r="F604" s="38">
        <v>0.4895833333333333</v>
      </c>
      <c r="I604" s="39" t="s">
        <v>1425</v>
      </c>
      <c r="S604" s="39" t="s">
        <v>1389</v>
      </c>
      <c r="AE604" s="40">
        <v>0.041666666666666664</v>
      </c>
      <c r="AG604" s="39" t="s">
        <v>1426</v>
      </c>
      <c r="AJ604" s="61" t="s">
        <v>1427</v>
      </c>
      <c r="AL604" s="42" t="s">
        <v>259</v>
      </c>
      <c r="AP604" s="43" t="str">
        <f t="shared" si="4"/>
        <v>REALIZADO</v>
      </c>
      <c r="AV604" s="44" t="s">
        <v>46</v>
      </c>
      <c r="AW604" s="45"/>
      <c r="AX604" s="35"/>
    </row>
    <row r="605">
      <c r="A605" s="24"/>
      <c r="B605" s="36" t="s">
        <v>41</v>
      </c>
      <c r="C605" s="37">
        <v>45999.0</v>
      </c>
      <c r="F605" s="38">
        <v>0.5416666666666666</v>
      </c>
      <c r="I605" s="39" t="s">
        <v>1428</v>
      </c>
      <c r="S605" s="39" t="s">
        <v>1389</v>
      </c>
      <c r="AE605" s="40">
        <v>0.041666666666666664</v>
      </c>
      <c r="AG605" s="39" t="s">
        <v>1426</v>
      </c>
      <c r="AJ605" s="61" t="s">
        <v>1427</v>
      </c>
      <c r="AL605" s="42" t="s">
        <v>259</v>
      </c>
      <c r="AP605" s="43" t="str">
        <f t="shared" si="4"/>
        <v>REALIZADO</v>
      </c>
      <c r="AV605" s="44" t="s">
        <v>46</v>
      </c>
      <c r="AW605" s="45"/>
      <c r="AX605" s="35"/>
    </row>
    <row r="606">
      <c r="A606" s="24"/>
      <c r="B606" s="36" t="s">
        <v>41</v>
      </c>
      <c r="C606" s="37">
        <v>45999.0</v>
      </c>
      <c r="F606" s="38">
        <v>0.6041666666666666</v>
      </c>
      <c r="I606" s="39" t="s">
        <v>1429</v>
      </c>
      <c r="S606" s="39" t="s">
        <v>1386</v>
      </c>
      <c r="AE606" s="40">
        <v>0.027777777777777776</v>
      </c>
      <c r="AG606" s="39" t="s">
        <v>1423</v>
      </c>
      <c r="AJ606" s="61" t="s">
        <v>1424</v>
      </c>
      <c r="AL606" s="42" t="s">
        <v>259</v>
      </c>
      <c r="AP606" s="43" t="str">
        <f t="shared" si="4"/>
        <v>REALIZADO</v>
      </c>
      <c r="AV606" s="44" t="s">
        <v>46</v>
      </c>
      <c r="AW606" s="45"/>
      <c r="AX606" s="35"/>
    </row>
    <row r="607">
      <c r="A607" s="24"/>
      <c r="B607" s="36" t="s">
        <v>41</v>
      </c>
      <c r="C607" s="37">
        <v>45999.0</v>
      </c>
      <c r="F607" s="38">
        <v>0.7083333333333334</v>
      </c>
      <c r="I607" s="63" t="s">
        <v>1430</v>
      </c>
      <c r="S607" s="39" t="s">
        <v>268</v>
      </c>
      <c r="AE607" s="40">
        <v>0.041666666666666664</v>
      </c>
      <c r="AG607" s="39" t="s">
        <v>1431</v>
      </c>
      <c r="AJ607" s="61" t="s">
        <v>1432</v>
      </c>
      <c r="AL607" s="42" t="s">
        <v>53</v>
      </c>
      <c r="AP607" s="43" t="str">
        <f t="shared" si="4"/>
        <v>REALIZADO</v>
      </c>
      <c r="AV607" s="44" t="s">
        <v>46</v>
      </c>
      <c r="AW607" s="45"/>
      <c r="AX607" s="35"/>
    </row>
    <row r="608">
      <c r="A608" s="24"/>
      <c r="B608" s="36" t="s">
        <v>41</v>
      </c>
      <c r="C608" s="37">
        <v>45999.0</v>
      </c>
      <c r="F608" s="38">
        <v>0.8541666666666666</v>
      </c>
      <c r="I608" s="39" t="s">
        <v>1433</v>
      </c>
      <c r="S608" s="39" t="s">
        <v>268</v>
      </c>
      <c r="AE608" s="40">
        <v>0.041666666666666664</v>
      </c>
      <c r="AG608" s="39" t="s">
        <v>688</v>
      </c>
      <c r="AJ608" s="61" t="s">
        <v>1434</v>
      </c>
      <c r="AL608" s="42" t="s">
        <v>56</v>
      </c>
      <c r="AP608" s="43" t="str">
        <f t="shared" si="4"/>
        <v>REALIZADO</v>
      </c>
      <c r="AV608" s="44" t="s">
        <v>46</v>
      </c>
      <c r="AW608" s="45"/>
      <c r="AX608" s="35"/>
    </row>
    <row r="609">
      <c r="A609" s="24"/>
      <c r="B609" s="36" t="s">
        <v>34</v>
      </c>
      <c r="C609" s="37">
        <v>46000.0</v>
      </c>
      <c r="F609" s="38">
        <v>0.2916666666666667</v>
      </c>
      <c r="I609" s="39" t="s">
        <v>1435</v>
      </c>
      <c r="S609" s="39" t="s">
        <v>1436</v>
      </c>
      <c r="AE609" s="40">
        <v>0.28125</v>
      </c>
      <c r="AG609" s="39" t="s">
        <v>176</v>
      </c>
      <c r="AJ609" s="41" t="s">
        <v>1437</v>
      </c>
      <c r="AL609" s="42" t="s">
        <v>259</v>
      </c>
      <c r="AP609" s="43" t="str">
        <f t="shared" si="4"/>
        <v>REALIZADO</v>
      </c>
      <c r="AV609" s="44" t="s">
        <v>46</v>
      </c>
      <c r="AW609" s="45"/>
      <c r="AX609" s="35"/>
    </row>
    <row r="610">
      <c r="A610" s="24"/>
      <c r="B610" s="36" t="s">
        <v>41</v>
      </c>
      <c r="C610" s="37">
        <v>46000.0</v>
      </c>
      <c r="F610" s="38">
        <v>0.5</v>
      </c>
      <c r="I610" s="39" t="s">
        <v>1438</v>
      </c>
      <c r="S610" s="39" t="s">
        <v>233</v>
      </c>
      <c r="AE610" s="40">
        <v>0.0625</v>
      </c>
      <c r="AG610" s="39" t="s">
        <v>696</v>
      </c>
      <c r="AJ610" s="61" t="s">
        <v>1439</v>
      </c>
      <c r="AL610" s="42" t="s">
        <v>56</v>
      </c>
      <c r="AP610" s="43" t="str">
        <f t="shared" si="4"/>
        <v>REALIZADO</v>
      </c>
      <c r="AV610" s="44" t="s">
        <v>46</v>
      </c>
      <c r="AW610" s="45"/>
      <c r="AX610" s="35"/>
    </row>
    <row r="611">
      <c r="A611" s="24"/>
      <c r="B611" s="36" t="s">
        <v>41</v>
      </c>
      <c r="C611" s="37">
        <v>46000.0</v>
      </c>
      <c r="F611" s="38">
        <v>0.5833333333333334</v>
      </c>
      <c r="I611" s="39" t="s">
        <v>1440</v>
      </c>
      <c r="S611" s="39" t="s">
        <v>268</v>
      </c>
      <c r="AE611" s="40">
        <v>0.041666666666666664</v>
      </c>
      <c r="AG611" s="39" t="s">
        <v>788</v>
      </c>
      <c r="AJ611" s="61" t="s">
        <v>1441</v>
      </c>
      <c r="AL611" s="42" t="s">
        <v>1250</v>
      </c>
      <c r="AP611" s="43" t="str">
        <f t="shared" si="4"/>
        <v>REALIZADO</v>
      </c>
      <c r="AV611" s="44" t="s">
        <v>46</v>
      </c>
      <c r="AW611" s="45"/>
      <c r="AX611" s="35"/>
    </row>
    <row r="612">
      <c r="A612" s="24"/>
      <c r="B612" s="36" t="s">
        <v>34</v>
      </c>
      <c r="C612" s="37">
        <v>46000.0</v>
      </c>
      <c r="F612" s="38">
        <v>0.6666666666666666</v>
      </c>
      <c r="I612" s="39" t="s">
        <v>1342</v>
      </c>
      <c r="S612" s="39" t="s">
        <v>1442</v>
      </c>
      <c r="AE612" s="40">
        <v>0.25</v>
      </c>
      <c r="AG612" s="39" t="s">
        <v>176</v>
      </c>
      <c r="AJ612" s="41" t="s">
        <v>1443</v>
      </c>
      <c r="AL612" s="42" t="s">
        <v>1444</v>
      </c>
      <c r="AP612" s="43" t="str">
        <f t="shared" si="4"/>
        <v>REALIZADO</v>
      </c>
      <c r="AV612" s="44" t="s">
        <v>46</v>
      </c>
      <c r="AW612" s="45"/>
      <c r="AX612" s="35"/>
    </row>
    <row r="613">
      <c r="A613" s="24"/>
      <c r="B613" s="36" t="s">
        <v>41</v>
      </c>
      <c r="C613" s="37">
        <v>46000.0</v>
      </c>
      <c r="F613" s="38">
        <v>0.8541666666666666</v>
      </c>
      <c r="I613" s="39" t="s">
        <v>1445</v>
      </c>
      <c r="S613" s="39" t="s">
        <v>185</v>
      </c>
      <c r="AE613" s="40">
        <v>0.003472222222222222</v>
      </c>
      <c r="AG613" s="39" t="s">
        <v>44</v>
      </c>
      <c r="AJ613" s="61" t="s">
        <v>1446</v>
      </c>
      <c r="AL613" s="42" t="s">
        <v>56</v>
      </c>
      <c r="AP613" s="43" t="str">
        <f t="shared" si="4"/>
        <v>REALIZADO</v>
      </c>
      <c r="AV613" s="44" t="s">
        <v>46</v>
      </c>
      <c r="AW613" s="45"/>
      <c r="AX613" s="35"/>
    </row>
    <row r="614">
      <c r="A614" s="24"/>
      <c r="B614" s="36" t="s">
        <v>34</v>
      </c>
      <c r="C614" s="37">
        <v>46001.0</v>
      </c>
      <c r="F614" s="38">
        <v>0.5</v>
      </c>
      <c r="I614" s="39" t="s">
        <v>1447</v>
      </c>
      <c r="S614" s="39" t="s">
        <v>1448</v>
      </c>
      <c r="AE614" s="40">
        <v>0.28125</v>
      </c>
      <c r="AG614" s="39" t="s">
        <v>1449</v>
      </c>
      <c r="AJ614" s="41" t="s">
        <v>1450</v>
      </c>
      <c r="AL614" s="42" t="s">
        <v>259</v>
      </c>
      <c r="AP614" s="43" t="str">
        <f t="shared" si="4"/>
        <v>REALIZADO</v>
      </c>
      <c r="AV614" s="44" t="s">
        <v>46</v>
      </c>
      <c r="AW614" s="45"/>
      <c r="AX614" s="35"/>
    </row>
    <row r="615">
      <c r="A615" s="24"/>
      <c r="B615" s="36" t="s">
        <v>41</v>
      </c>
      <c r="C615" s="37">
        <v>46001.0</v>
      </c>
      <c r="F615" s="38">
        <v>0.75</v>
      </c>
      <c r="I615" s="39" t="s">
        <v>1451</v>
      </c>
      <c r="S615" s="39" t="s">
        <v>268</v>
      </c>
      <c r="AE615" s="40">
        <v>0.0625</v>
      </c>
      <c r="AG615" s="39" t="s">
        <v>696</v>
      </c>
      <c r="AJ615" s="61" t="s">
        <v>1452</v>
      </c>
      <c r="AL615" s="42" t="s">
        <v>56</v>
      </c>
      <c r="AP615" s="43" t="str">
        <f t="shared" si="4"/>
        <v>REALIZADO</v>
      </c>
      <c r="AV615" s="44" t="s">
        <v>46</v>
      </c>
      <c r="AW615" s="45"/>
      <c r="AX615" s="35"/>
    </row>
    <row r="616">
      <c r="A616" s="24"/>
      <c r="B616" s="36" t="s">
        <v>41</v>
      </c>
      <c r="C616" s="37">
        <v>46001.0</v>
      </c>
      <c r="F616" s="38">
        <v>0.8541666666666666</v>
      </c>
      <c r="I616" s="39" t="s">
        <v>1453</v>
      </c>
      <c r="S616" s="39" t="s">
        <v>268</v>
      </c>
      <c r="AE616" s="40">
        <v>0.041666666666666664</v>
      </c>
      <c r="AG616" s="39" t="s">
        <v>712</v>
      </c>
      <c r="AJ616" s="61" t="s">
        <v>1454</v>
      </c>
      <c r="AL616" s="42" t="s">
        <v>56</v>
      </c>
      <c r="AP616" s="43" t="str">
        <f t="shared" si="4"/>
        <v>REALIZADO</v>
      </c>
      <c r="AV616" s="44" t="s">
        <v>46</v>
      </c>
      <c r="AW616" s="45"/>
      <c r="AX616" s="35"/>
    </row>
    <row r="617">
      <c r="A617" s="24"/>
      <c r="B617" s="36" t="s">
        <v>34</v>
      </c>
      <c r="C617" s="37">
        <v>46002.0</v>
      </c>
      <c r="F617" s="38">
        <v>0.625</v>
      </c>
      <c r="I617" s="39" t="s">
        <v>977</v>
      </c>
      <c r="S617" s="39" t="s">
        <v>745</v>
      </c>
      <c r="AE617" s="40">
        <v>0.2013888888888889</v>
      </c>
      <c r="AG617" s="39" t="s">
        <v>1455</v>
      </c>
      <c r="AJ617" s="41" t="s">
        <v>1456</v>
      </c>
      <c r="AL617" s="42" t="s">
        <v>1250</v>
      </c>
      <c r="AP617" s="43" t="str">
        <f t="shared" si="4"/>
        <v>REALIZADO</v>
      </c>
      <c r="AV617" s="44" t="s">
        <v>46</v>
      </c>
      <c r="AW617" s="45"/>
      <c r="AX617" s="35"/>
    </row>
    <row r="618">
      <c r="A618" s="24"/>
      <c r="B618" s="36" t="s">
        <v>41</v>
      </c>
      <c r="C618" s="37">
        <v>46003.0</v>
      </c>
      <c r="F618" s="38">
        <v>0.5</v>
      </c>
      <c r="I618" s="39" t="s">
        <v>1457</v>
      </c>
      <c r="S618" s="39" t="s">
        <v>233</v>
      </c>
      <c r="AE618" s="40">
        <v>0.041666666666666664</v>
      </c>
      <c r="AG618" s="39" t="s">
        <v>1431</v>
      </c>
      <c r="AJ618" s="61" t="s">
        <v>1458</v>
      </c>
      <c r="AL618" s="42" t="s">
        <v>53</v>
      </c>
      <c r="AP618" s="43" t="str">
        <f t="shared" si="4"/>
        <v>REALIZADO</v>
      </c>
      <c r="AV618" s="44" t="s">
        <v>46</v>
      </c>
      <c r="AW618" s="45"/>
      <c r="AX618" s="35"/>
    </row>
    <row r="619">
      <c r="A619" s="24"/>
      <c r="B619" s="36" t="s">
        <v>41</v>
      </c>
      <c r="C619" s="37">
        <v>46003.0</v>
      </c>
      <c r="F619" s="38">
        <v>0.375</v>
      </c>
      <c r="I619" s="39" t="s">
        <v>1459</v>
      </c>
      <c r="S619" s="39" t="s">
        <v>1386</v>
      </c>
      <c r="AE619" s="40">
        <v>0.027777777777777776</v>
      </c>
      <c r="AG619" s="39" t="s">
        <v>1423</v>
      </c>
      <c r="AJ619" s="61" t="s">
        <v>1460</v>
      </c>
      <c r="AL619" s="42" t="s">
        <v>259</v>
      </c>
      <c r="AP619" s="43" t="str">
        <f t="shared" si="4"/>
        <v>REALIZADO</v>
      </c>
      <c r="AV619" s="44" t="s">
        <v>46</v>
      </c>
      <c r="AW619" s="45"/>
      <c r="AX619" s="35"/>
    </row>
    <row r="620">
      <c r="A620" s="24"/>
      <c r="B620" s="36" t="s">
        <v>41</v>
      </c>
      <c r="C620" s="37">
        <v>46003.0</v>
      </c>
      <c r="F620" s="38">
        <v>0.4375</v>
      </c>
      <c r="I620" s="39" t="s">
        <v>1461</v>
      </c>
      <c r="S620" s="39" t="s">
        <v>1389</v>
      </c>
      <c r="AE620" s="40">
        <v>0.041666666666666664</v>
      </c>
      <c r="AG620" s="39" t="s">
        <v>1426</v>
      </c>
      <c r="AJ620" s="61" t="s">
        <v>1462</v>
      </c>
      <c r="AL620" s="42" t="s">
        <v>259</v>
      </c>
      <c r="AP620" s="43" t="str">
        <f t="shared" si="4"/>
        <v>REALIZADO</v>
      </c>
      <c r="AV620" s="44" t="s">
        <v>46</v>
      </c>
      <c r="AW620" s="45"/>
      <c r="AX620" s="35"/>
    </row>
    <row r="621">
      <c r="A621" s="24"/>
      <c r="B621" s="36" t="s">
        <v>41</v>
      </c>
      <c r="C621" s="37">
        <v>46003.0</v>
      </c>
      <c r="F621" s="38">
        <v>0.4895833333333333</v>
      </c>
      <c r="I621" s="39" t="s">
        <v>1461</v>
      </c>
      <c r="S621" s="39" t="s">
        <v>1389</v>
      </c>
      <c r="AE621" s="40">
        <v>0.041666666666666664</v>
      </c>
      <c r="AG621" s="39" t="s">
        <v>1426</v>
      </c>
      <c r="AJ621" s="61" t="s">
        <v>1462</v>
      </c>
      <c r="AL621" s="42" t="s">
        <v>259</v>
      </c>
      <c r="AP621" s="43" t="str">
        <f t="shared" si="4"/>
        <v>REALIZADO</v>
      </c>
      <c r="AV621" s="44" t="s">
        <v>46</v>
      </c>
      <c r="AW621" s="45"/>
      <c r="AX621" s="35"/>
    </row>
    <row r="622">
      <c r="A622" s="24"/>
      <c r="B622" s="36" t="s">
        <v>41</v>
      </c>
      <c r="C622" s="37">
        <v>46003.0</v>
      </c>
      <c r="F622" s="38">
        <v>0.5416666666666666</v>
      </c>
      <c r="I622" s="39" t="s">
        <v>1463</v>
      </c>
      <c r="S622" s="39" t="s">
        <v>1389</v>
      </c>
      <c r="AE622" s="40">
        <v>0.041666666666666664</v>
      </c>
      <c r="AG622" s="39" t="s">
        <v>1426</v>
      </c>
      <c r="AJ622" s="61" t="s">
        <v>1462</v>
      </c>
      <c r="AL622" s="42" t="s">
        <v>259</v>
      </c>
      <c r="AP622" s="43" t="str">
        <f t="shared" si="4"/>
        <v>REALIZADO</v>
      </c>
      <c r="AV622" s="44" t="s">
        <v>46</v>
      </c>
      <c r="AW622" s="45"/>
      <c r="AX622" s="35"/>
    </row>
    <row r="623">
      <c r="A623" s="24"/>
      <c r="B623" s="36" t="s">
        <v>41</v>
      </c>
      <c r="C623" s="37">
        <v>46003.0</v>
      </c>
      <c r="F623" s="38">
        <v>0.6041666666666666</v>
      </c>
      <c r="I623" s="39" t="s">
        <v>1464</v>
      </c>
      <c r="S623" s="39" t="s">
        <v>1386</v>
      </c>
      <c r="AE623" s="40">
        <v>0.027777777777777776</v>
      </c>
      <c r="AG623" s="39" t="s">
        <v>1423</v>
      </c>
      <c r="AJ623" s="61" t="s">
        <v>1460</v>
      </c>
      <c r="AL623" s="42" t="s">
        <v>259</v>
      </c>
      <c r="AP623" s="43" t="str">
        <f t="shared" si="4"/>
        <v>REALIZADO</v>
      </c>
      <c r="AV623" s="44" t="s">
        <v>46</v>
      </c>
      <c r="AW623" s="45"/>
      <c r="AX623" s="35"/>
    </row>
    <row r="624">
      <c r="A624" s="24"/>
      <c r="B624" s="36" t="s">
        <v>41</v>
      </c>
      <c r="C624" s="37">
        <v>46003.0</v>
      </c>
      <c r="F624" s="38">
        <v>0.6666666666666666</v>
      </c>
      <c r="I624" s="39" t="s">
        <v>1465</v>
      </c>
      <c r="S624" s="39" t="s">
        <v>503</v>
      </c>
      <c r="AE624" s="40">
        <v>0.041666666666666664</v>
      </c>
      <c r="AG624" s="39" t="s">
        <v>1466</v>
      </c>
      <c r="AJ624" s="61" t="s">
        <v>1467</v>
      </c>
      <c r="AL624" s="42" t="s">
        <v>136</v>
      </c>
      <c r="AP624" s="43" t="str">
        <f t="shared" si="4"/>
        <v>REALIZADO</v>
      </c>
      <c r="AV624" s="44" t="s">
        <v>46</v>
      </c>
      <c r="AW624" s="45"/>
      <c r="AX624" s="35"/>
    </row>
    <row r="625">
      <c r="A625" s="24"/>
      <c r="B625" s="36" t="s">
        <v>41</v>
      </c>
      <c r="C625" s="37">
        <v>46003.0</v>
      </c>
      <c r="F625" s="38">
        <v>0.6666666666666666</v>
      </c>
      <c r="I625" s="39" t="s">
        <v>1468</v>
      </c>
      <c r="S625" s="39" t="s">
        <v>503</v>
      </c>
      <c r="AE625" s="40">
        <v>0.041666666666666664</v>
      </c>
      <c r="AG625" s="39" t="s">
        <v>1466</v>
      </c>
      <c r="AJ625" s="61" t="s">
        <v>1467</v>
      </c>
      <c r="AL625" s="42" t="s">
        <v>259</v>
      </c>
      <c r="AP625" s="43" t="str">
        <f t="shared" si="4"/>
        <v>REALIZADO</v>
      </c>
      <c r="AV625" s="44" t="s">
        <v>46</v>
      </c>
      <c r="AW625" s="45"/>
      <c r="AX625" s="35"/>
    </row>
    <row r="626">
      <c r="A626" s="24"/>
      <c r="B626" s="36" t="s">
        <v>41</v>
      </c>
      <c r="C626" s="37">
        <v>46003.0</v>
      </c>
      <c r="F626" s="38">
        <v>0.7291666666666666</v>
      </c>
      <c r="I626" s="39" t="s">
        <v>1469</v>
      </c>
      <c r="S626" s="39" t="s">
        <v>503</v>
      </c>
      <c r="AE626" s="40">
        <v>0.041666666666666664</v>
      </c>
      <c r="AG626" s="39" t="s">
        <v>1466</v>
      </c>
      <c r="AJ626" s="61" t="s">
        <v>1470</v>
      </c>
      <c r="AL626" s="42" t="s">
        <v>136</v>
      </c>
      <c r="AP626" s="43" t="str">
        <f t="shared" si="4"/>
        <v>REALIZADO</v>
      </c>
      <c r="AV626" s="44" t="s">
        <v>46</v>
      </c>
      <c r="AW626" s="45"/>
      <c r="AX626" s="35"/>
    </row>
    <row r="627">
      <c r="A627" s="24"/>
      <c r="B627" s="36" t="s">
        <v>41</v>
      </c>
      <c r="C627" s="37">
        <v>46003.0</v>
      </c>
      <c r="F627" s="38">
        <v>0.7291666666666666</v>
      </c>
      <c r="I627" s="39" t="s">
        <v>1471</v>
      </c>
      <c r="S627" s="39" t="s">
        <v>503</v>
      </c>
      <c r="AE627" s="40">
        <v>0.041666666666666664</v>
      </c>
      <c r="AG627" s="39" t="s">
        <v>1466</v>
      </c>
      <c r="AJ627" s="61" t="s">
        <v>1470</v>
      </c>
      <c r="AL627" s="42" t="s">
        <v>259</v>
      </c>
      <c r="AP627" s="43" t="str">
        <f t="shared" si="4"/>
        <v>REALIZADO</v>
      </c>
      <c r="AV627" s="44" t="s">
        <v>46</v>
      </c>
      <c r="AW627" s="45"/>
      <c r="AX627" s="35"/>
    </row>
    <row r="628">
      <c r="A628" s="24"/>
      <c r="B628" s="36" t="s">
        <v>41</v>
      </c>
      <c r="C628" s="37">
        <v>46003.0</v>
      </c>
      <c r="F628" s="38">
        <v>0.8541666666666666</v>
      </c>
      <c r="I628" s="39" t="s">
        <v>1472</v>
      </c>
      <c r="S628" s="39" t="s">
        <v>268</v>
      </c>
      <c r="AE628" s="40">
        <v>0.041666666666666664</v>
      </c>
      <c r="AG628" s="39" t="s">
        <v>712</v>
      </c>
      <c r="AJ628" s="61" t="s">
        <v>1473</v>
      </c>
      <c r="AL628" s="42" t="s">
        <v>56</v>
      </c>
      <c r="AP628" s="43" t="str">
        <f t="shared" si="4"/>
        <v>REALIZADO</v>
      </c>
      <c r="AV628" s="44" t="s">
        <v>46</v>
      </c>
      <c r="AW628" s="45"/>
      <c r="AX628" s="35"/>
    </row>
    <row r="629">
      <c r="A629" s="24"/>
      <c r="B629" s="36" t="s">
        <v>41</v>
      </c>
      <c r="C629" s="37">
        <v>46004.0</v>
      </c>
      <c r="F629" s="38">
        <v>0.4583333333333333</v>
      </c>
      <c r="I629" s="39" t="s">
        <v>1474</v>
      </c>
      <c r="S629" s="39" t="s">
        <v>1389</v>
      </c>
      <c r="AE629" s="40">
        <v>0.041666666666666664</v>
      </c>
      <c r="AG629" s="39" t="s">
        <v>1475</v>
      </c>
      <c r="AJ629" s="61" t="s">
        <v>1476</v>
      </c>
      <c r="AL629" s="42" t="s">
        <v>1250</v>
      </c>
      <c r="AP629" s="43" t="str">
        <f t="shared" si="4"/>
        <v>REALIZADO</v>
      </c>
      <c r="AV629" s="44" t="s">
        <v>46</v>
      </c>
      <c r="AW629" s="45"/>
      <c r="AX629" s="35"/>
    </row>
    <row r="630">
      <c r="A630" s="24"/>
      <c r="B630" s="36" t="s">
        <v>41</v>
      </c>
      <c r="C630" s="37">
        <v>46004.0</v>
      </c>
      <c r="F630" s="38">
        <v>0.5416666666666666</v>
      </c>
      <c r="I630" s="39" t="s">
        <v>1477</v>
      </c>
      <c r="S630" s="39" t="s">
        <v>1389</v>
      </c>
      <c r="AE630" s="40">
        <v>0.041666666666666664</v>
      </c>
      <c r="AG630" s="39" t="s">
        <v>1475</v>
      </c>
      <c r="AJ630" s="61" t="s">
        <v>1478</v>
      </c>
      <c r="AL630" s="42" t="s">
        <v>1250</v>
      </c>
      <c r="AP630" s="43" t="str">
        <f t="shared" si="4"/>
        <v>REALIZADO</v>
      </c>
      <c r="AV630" s="44" t="s">
        <v>46</v>
      </c>
      <c r="AW630" s="45"/>
      <c r="AX630" s="35"/>
    </row>
    <row r="631">
      <c r="A631" s="24"/>
      <c r="B631" s="36" t="s">
        <v>41</v>
      </c>
      <c r="C631" s="37">
        <v>46004.0</v>
      </c>
      <c r="F631" s="38">
        <v>0.6875</v>
      </c>
      <c r="I631" s="39" t="s">
        <v>1479</v>
      </c>
      <c r="S631" s="39" t="s">
        <v>1389</v>
      </c>
      <c r="AE631" s="40">
        <v>0.041666666666666664</v>
      </c>
      <c r="AG631" s="39" t="s">
        <v>1475</v>
      </c>
      <c r="AJ631" s="61" t="s">
        <v>1480</v>
      </c>
      <c r="AL631" s="42" t="s">
        <v>1250</v>
      </c>
      <c r="AP631" s="43" t="str">
        <f t="shared" si="4"/>
        <v>REALIZADO</v>
      </c>
      <c r="AV631" s="44" t="s">
        <v>46</v>
      </c>
      <c r="AW631" s="45"/>
      <c r="AX631" s="35"/>
    </row>
    <row r="632">
      <c r="A632" s="24"/>
      <c r="B632" s="36" t="s">
        <v>34</v>
      </c>
      <c r="C632" s="37">
        <v>46005.0</v>
      </c>
      <c r="F632" s="38">
        <v>0.5</v>
      </c>
      <c r="I632" s="39" t="s">
        <v>1481</v>
      </c>
      <c r="S632" s="39" t="s">
        <v>1482</v>
      </c>
      <c r="AE632" s="40">
        <v>0.4722222222222222</v>
      </c>
      <c r="AG632" s="39" t="s">
        <v>176</v>
      </c>
      <c r="AJ632" s="41" t="s">
        <v>1483</v>
      </c>
      <c r="AL632" s="42" t="s">
        <v>1250</v>
      </c>
      <c r="AP632" s="43" t="str">
        <f t="shared" si="4"/>
        <v>REALIZADO</v>
      </c>
      <c r="AV632" s="44" t="s">
        <v>46</v>
      </c>
      <c r="AW632" s="45"/>
      <c r="AX632" s="35"/>
    </row>
    <row r="633">
      <c r="A633" s="24"/>
      <c r="B633" s="36" t="s">
        <v>41</v>
      </c>
      <c r="C633" s="37">
        <v>46006.0</v>
      </c>
      <c r="F633" s="38">
        <v>0.6875</v>
      </c>
      <c r="I633" s="39" t="s">
        <v>1484</v>
      </c>
      <c r="S633" s="39" t="s">
        <v>1389</v>
      </c>
      <c r="AE633" s="40">
        <v>0.041666666666666664</v>
      </c>
      <c r="AG633" s="39" t="s">
        <v>1475</v>
      </c>
      <c r="AJ633" s="61" t="s">
        <v>1485</v>
      </c>
      <c r="AL633" s="42" t="s">
        <v>136</v>
      </c>
      <c r="AP633" s="43" t="str">
        <f t="shared" si="4"/>
        <v>REALIZADO</v>
      </c>
      <c r="AV633" s="44" t="s">
        <v>46</v>
      </c>
      <c r="AW633" s="45"/>
      <c r="AX633" s="35"/>
    </row>
    <row r="634">
      <c r="A634" s="24"/>
      <c r="B634" s="36" t="s">
        <v>41</v>
      </c>
      <c r="C634" s="37">
        <v>46006.0</v>
      </c>
      <c r="F634" s="38">
        <v>0.6875</v>
      </c>
      <c r="I634" s="39" t="s">
        <v>1486</v>
      </c>
      <c r="S634" s="39" t="s">
        <v>1389</v>
      </c>
      <c r="AE634" s="40">
        <v>0.041666666666666664</v>
      </c>
      <c r="AG634" s="39" t="s">
        <v>1475</v>
      </c>
      <c r="AJ634" s="61" t="s">
        <v>1485</v>
      </c>
      <c r="AL634" s="42" t="s">
        <v>259</v>
      </c>
      <c r="AP634" s="43" t="str">
        <f t="shared" si="4"/>
        <v>REALIZADO</v>
      </c>
      <c r="AV634" s="44" t="s">
        <v>46</v>
      </c>
      <c r="AW634" s="45"/>
      <c r="AX634" s="35"/>
    </row>
    <row r="635">
      <c r="A635" s="24"/>
      <c r="B635" s="36" t="s">
        <v>41</v>
      </c>
      <c r="C635" s="37">
        <v>46006.0</v>
      </c>
      <c r="F635" s="38">
        <v>0.7708333333333334</v>
      </c>
      <c r="I635" s="39" t="s">
        <v>1487</v>
      </c>
      <c r="S635" s="39" t="s">
        <v>1389</v>
      </c>
      <c r="AE635" s="40">
        <v>0.041666666666666664</v>
      </c>
      <c r="AG635" s="39" t="s">
        <v>1475</v>
      </c>
      <c r="AJ635" s="61" t="s">
        <v>1488</v>
      </c>
      <c r="AL635" s="42" t="s">
        <v>136</v>
      </c>
      <c r="AP635" s="43" t="str">
        <f t="shared" si="4"/>
        <v>REALIZADO</v>
      </c>
      <c r="AV635" s="44" t="s">
        <v>46</v>
      </c>
      <c r="AW635" s="45"/>
      <c r="AX635" s="35"/>
    </row>
    <row r="636">
      <c r="A636" s="24"/>
      <c r="B636" s="36" t="s">
        <v>41</v>
      </c>
      <c r="C636" s="37">
        <v>46006.0</v>
      </c>
      <c r="F636" s="38">
        <v>0.7708333333333334</v>
      </c>
      <c r="I636" s="39" t="s">
        <v>1489</v>
      </c>
      <c r="S636" s="39" t="s">
        <v>1389</v>
      </c>
      <c r="AE636" s="40">
        <v>0.041666666666666664</v>
      </c>
      <c r="AG636" s="39" t="s">
        <v>1475</v>
      </c>
      <c r="AJ636" s="61" t="s">
        <v>1488</v>
      </c>
      <c r="AL636" s="42" t="s">
        <v>259</v>
      </c>
      <c r="AP636" s="43" t="str">
        <f t="shared" si="4"/>
        <v>REALIZADO</v>
      </c>
      <c r="AV636" s="44" t="s">
        <v>46</v>
      </c>
      <c r="AW636" s="45"/>
      <c r="AX636" s="35"/>
    </row>
    <row r="637">
      <c r="A637" s="24"/>
      <c r="B637" s="36" t="s">
        <v>41</v>
      </c>
      <c r="C637" s="37">
        <v>46006.0</v>
      </c>
      <c r="F637" s="38">
        <v>0.7708333333333334</v>
      </c>
      <c r="I637" s="39" t="s">
        <v>1346</v>
      </c>
      <c r="S637" s="39" t="s">
        <v>268</v>
      </c>
      <c r="AE637" s="40">
        <v>0.041666666666666664</v>
      </c>
      <c r="AG637" s="39" t="s">
        <v>1133</v>
      </c>
      <c r="AJ637" s="61" t="s">
        <v>1490</v>
      </c>
      <c r="AL637" s="42" t="s">
        <v>56</v>
      </c>
      <c r="AP637" s="43" t="str">
        <f t="shared" si="4"/>
        <v>REALIZADO</v>
      </c>
      <c r="AV637" s="44" t="s">
        <v>46</v>
      </c>
      <c r="AW637" s="45"/>
      <c r="AX637" s="35"/>
    </row>
    <row r="638">
      <c r="A638" s="24"/>
      <c r="B638" s="36" t="s">
        <v>34</v>
      </c>
      <c r="C638" s="37">
        <v>46007.0</v>
      </c>
      <c r="F638" s="38">
        <v>0.5</v>
      </c>
      <c r="I638" s="39" t="s">
        <v>1491</v>
      </c>
      <c r="S638" s="39" t="s">
        <v>807</v>
      </c>
      <c r="AE638" s="40">
        <v>0.2222222222222222</v>
      </c>
      <c r="AG638" s="39" t="s">
        <v>1492</v>
      </c>
      <c r="AJ638" s="41" t="s">
        <v>1493</v>
      </c>
      <c r="AL638" s="42" t="s">
        <v>1250</v>
      </c>
      <c r="AP638" s="43" t="str">
        <f t="shared" si="4"/>
        <v>REALIZADO</v>
      </c>
      <c r="AV638" s="44" t="s">
        <v>46</v>
      </c>
      <c r="AW638" s="45"/>
      <c r="AX638" s="35"/>
    </row>
    <row r="639">
      <c r="A639" s="24"/>
      <c r="B639" s="36" t="s">
        <v>34</v>
      </c>
      <c r="C639" s="37">
        <v>46007.0</v>
      </c>
      <c r="F639" s="38">
        <v>0.5</v>
      </c>
      <c r="I639" s="39" t="s">
        <v>1494</v>
      </c>
      <c r="S639" s="39" t="s">
        <v>1416</v>
      </c>
      <c r="AE639" s="40">
        <v>0.08680555555555555</v>
      </c>
      <c r="AG639" s="39" t="s">
        <v>176</v>
      </c>
      <c r="AJ639" s="41" t="s">
        <v>1495</v>
      </c>
      <c r="AL639" s="42" t="s">
        <v>1444</v>
      </c>
      <c r="AP639" s="43" t="str">
        <f t="shared" si="4"/>
        <v>REALIZADO</v>
      </c>
      <c r="AV639" s="44" t="s">
        <v>46</v>
      </c>
      <c r="AW639" s="45"/>
      <c r="AX639" s="35"/>
    </row>
    <row r="640">
      <c r="A640" s="24"/>
      <c r="B640" s="36" t="s">
        <v>41</v>
      </c>
      <c r="C640" s="37">
        <v>46008.0</v>
      </c>
      <c r="F640" s="38">
        <v>0.4166666666666667</v>
      </c>
      <c r="I640" s="39" t="s">
        <v>1496</v>
      </c>
      <c r="S640" s="39" t="s">
        <v>1389</v>
      </c>
      <c r="AE640" s="40">
        <v>0.041666666666666664</v>
      </c>
      <c r="AG640" s="39" t="s">
        <v>1475</v>
      </c>
      <c r="AJ640" s="61" t="s">
        <v>1497</v>
      </c>
      <c r="AL640" s="42" t="s">
        <v>259</v>
      </c>
      <c r="AP640" s="43" t="str">
        <f t="shared" si="4"/>
        <v>REALIZADO</v>
      </c>
      <c r="AV640" s="44" t="s">
        <v>46</v>
      </c>
      <c r="AW640" s="45"/>
      <c r="AX640" s="35"/>
    </row>
    <row r="641">
      <c r="A641" s="24"/>
      <c r="B641" s="36" t="s">
        <v>41</v>
      </c>
      <c r="C641" s="37">
        <v>46008.0</v>
      </c>
      <c r="F641" s="38">
        <v>0.4166666666666667</v>
      </c>
      <c r="I641" s="39" t="s">
        <v>1498</v>
      </c>
      <c r="S641" s="39" t="s">
        <v>1389</v>
      </c>
      <c r="AE641" s="40">
        <v>0.041666666666666664</v>
      </c>
      <c r="AG641" s="39" t="s">
        <v>1475</v>
      </c>
      <c r="AJ641" s="61" t="s">
        <v>1497</v>
      </c>
      <c r="AL641" s="42" t="s">
        <v>136</v>
      </c>
      <c r="AP641" s="43" t="str">
        <f t="shared" si="4"/>
        <v>REALIZADO</v>
      </c>
      <c r="AV641" s="44" t="s">
        <v>46</v>
      </c>
      <c r="AW641" s="45"/>
      <c r="AX641" s="35"/>
    </row>
    <row r="642">
      <c r="A642" s="24"/>
      <c r="B642" s="36" t="s">
        <v>41</v>
      </c>
      <c r="C642" s="37">
        <v>46008.0</v>
      </c>
      <c r="F642" s="38">
        <v>0.5</v>
      </c>
      <c r="I642" s="39" t="s">
        <v>1499</v>
      </c>
      <c r="S642" s="39" t="s">
        <v>1389</v>
      </c>
      <c r="AE642" s="40">
        <v>0.041666666666666664</v>
      </c>
      <c r="AG642" s="39" t="s">
        <v>1475</v>
      </c>
      <c r="AJ642" s="61" t="s">
        <v>1500</v>
      </c>
      <c r="AL642" s="42" t="s">
        <v>259</v>
      </c>
      <c r="AP642" s="43" t="str">
        <f t="shared" si="4"/>
        <v>REALIZADO</v>
      </c>
      <c r="AV642" s="44" t="s">
        <v>46</v>
      </c>
      <c r="AW642" s="45"/>
      <c r="AX642" s="35"/>
    </row>
    <row r="643">
      <c r="A643" s="24"/>
      <c r="B643" s="36" t="s">
        <v>41</v>
      </c>
      <c r="C643" s="37">
        <v>46008.0</v>
      </c>
      <c r="F643" s="38">
        <v>0.5</v>
      </c>
      <c r="I643" s="39" t="s">
        <v>1501</v>
      </c>
      <c r="S643" s="39" t="s">
        <v>1389</v>
      </c>
      <c r="AE643" s="40">
        <v>0.041666666666666664</v>
      </c>
      <c r="AG643" s="39" t="s">
        <v>1475</v>
      </c>
      <c r="AJ643" s="61" t="s">
        <v>1500</v>
      </c>
      <c r="AL643" s="42" t="s">
        <v>136</v>
      </c>
      <c r="AP643" s="43" t="str">
        <f t="shared" si="4"/>
        <v>REALIZADO</v>
      </c>
      <c r="AV643" s="44" t="s">
        <v>46</v>
      </c>
      <c r="AW643" s="45"/>
      <c r="AX643" s="35"/>
    </row>
    <row r="644">
      <c r="A644" s="24"/>
      <c r="B644" s="36" t="s">
        <v>34</v>
      </c>
      <c r="C644" s="37">
        <v>46009.0</v>
      </c>
      <c r="F644" s="38">
        <v>0.5</v>
      </c>
      <c r="I644" s="39" t="s">
        <v>1502</v>
      </c>
      <c r="S644" s="39" t="s">
        <v>1503</v>
      </c>
      <c r="AE644" s="40">
        <v>0.4236111111111111</v>
      </c>
      <c r="AG644" s="39" t="s">
        <v>1504</v>
      </c>
      <c r="AJ644" s="41" t="s">
        <v>1505</v>
      </c>
      <c r="AL644" s="42" t="s">
        <v>53</v>
      </c>
      <c r="AP644" s="43" t="str">
        <f t="shared" si="4"/>
        <v>REALIZADO</v>
      </c>
      <c r="AV644" s="44" t="s">
        <v>46</v>
      </c>
      <c r="AW644" s="45"/>
      <c r="AX644" s="35"/>
    </row>
    <row r="645">
      <c r="A645" s="24"/>
      <c r="B645" s="36" t="s">
        <v>41</v>
      </c>
      <c r="C645" s="37">
        <v>46009.0</v>
      </c>
      <c r="F645" s="38">
        <v>0.7083333333333334</v>
      </c>
      <c r="I645" s="39" t="s">
        <v>1506</v>
      </c>
      <c r="S645" s="39" t="s">
        <v>268</v>
      </c>
      <c r="AE645" s="40">
        <v>0.041666666666666664</v>
      </c>
      <c r="AG645" s="39" t="s">
        <v>176</v>
      </c>
      <c r="AJ645" s="61" t="s">
        <v>1507</v>
      </c>
      <c r="AL645" s="42" t="s">
        <v>1444</v>
      </c>
      <c r="AP645" s="43" t="str">
        <f t="shared" si="4"/>
        <v>REALIZADO</v>
      </c>
      <c r="AV645" s="44" t="s">
        <v>46</v>
      </c>
      <c r="AW645" s="45"/>
      <c r="AX645" s="35"/>
    </row>
    <row r="646">
      <c r="A646" s="24"/>
      <c r="B646" s="36" t="s">
        <v>41</v>
      </c>
      <c r="C646" s="37">
        <v>46009.0</v>
      </c>
      <c r="F646" s="38">
        <v>0.6875</v>
      </c>
      <c r="I646" s="39" t="s">
        <v>1508</v>
      </c>
      <c r="S646" s="39" t="s">
        <v>1389</v>
      </c>
      <c r="AE646" s="40">
        <v>0.041666666666666664</v>
      </c>
      <c r="AG646" s="39" t="s">
        <v>1475</v>
      </c>
      <c r="AJ646" s="41" t="s">
        <v>44</v>
      </c>
      <c r="AL646" s="42" t="s">
        <v>259</v>
      </c>
      <c r="AP646" s="43" t="str">
        <f t="shared" si="4"/>
        <v>ABORTIVA</v>
      </c>
      <c r="AV646" s="44" t="s">
        <v>69</v>
      </c>
      <c r="AW646" s="45"/>
      <c r="AX646" s="35"/>
    </row>
    <row r="647">
      <c r="A647" s="24"/>
      <c r="B647" s="36" t="s">
        <v>41</v>
      </c>
      <c r="C647" s="37">
        <v>46009.0</v>
      </c>
      <c r="F647" s="38">
        <v>0.6875</v>
      </c>
      <c r="I647" s="39" t="s">
        <v>1509</v>
      </c>
      <c r="S647" s="39" t="s">
        <v>1389</v>
      </c>
      <c r="AE647" s="40">
        <v>0.041666666666666664</v>
      </c>
      <c r="AG647" s="39" t="s">
        <v>1475</v>
      </c>
      <c r="AJ647" s="41" t="s">
        <v>44</v>
      </c>
      <c r="AL647" s="42" t="s">
        <v>136</v>
      </c>
      <c r="AP647" s="43" t="str">
        <f t="shared" si="4"/>
        <v>ABORTIVA</v>
      </c>
      <c r="AV647" s="44" t="s">
        <v>69</v>
      </c>
      <c r="AW647" s="45"/>
      <c r="AX647" s="35"/>
    </row>
    <row r="648">
      <c r="A648" s="24"/>
      <c r="B648" s="36" t="s">
        <v>41</v>
      </c>
      <c r="C648" s="37">
        <v>46009.0</v>
      </c>
      <c r="F648" s="38">
        <v>0.7708333333333334</v>
      </c>
      <c r="I648" s="39" t="s">
        <v>1510</v>
      </c>
      <c r="S648" s="39" t="s">
        <v>1389</v>
      </c>
      <c r="AE648" s="40">
        <v>0.041666666666666664</v>
      </c>
      <c r="AG648" s="39" t="s">
        <v>1475</v>
      </c>
      <c r="AJ648" s="41" t="s">
        <v>44</v>
      </c>
      <c r="AL648" s="42" t="s">
        <v>259</v>
      </c>
      <c r="AP648" s="43" t="str">
        <f t="shared" si="4"/>
        <v>ABORTIVA</v>
      </c>
      <c r="AV648" s="44" t="s">
        <v>69</v>
      </c>
      <c r="AW648" s="45"/>
      <c r="AX648" s="35"/>
    </row>
    <row r="649">
      <c r="A649" s="24"/>
      <c r="B649" s="36" t="s">
        <v>41</v>
      </c>
      <c r="C649" s="37">
        <v>46009.0</v>
      </c>
      <c r="F649" s="38">
        <v>0.7708333333333334</v>
      </c>
      <c r="I649" s="39" t="s">
        <v>1511</v>
      </c>
      <c r="S649" s="39" t="s">
        <v>1389</v>
      </c>
      <c r="AE649" s="40">
        <v>0.041666666666666664</v>
      </c>
      <c r="AG649" s="39" t="s">
        <v>1475</v>
      </c>
      <c r="AJ649" s="41" t="s">
        <v>44</v>
      </c>
      <c r="AL649" s="42" t="s">
        <v>136</v>
      </c>
      <c r="AP649" s="43" t="str">
        <f t="shared" si="4"/>
        <v>ABORTIVA</v>
      </c>
      <c r="AV649" s="44" t="s">
        <v>69</v>
      </c>
      <c r="AW649" s="45"/>
      <c r="AX649" s="35"/>
    </row>
    <row r="650">
      <c r="A650" s="24"/>
      <c r="B650" s="36" t="s">
        <v>34</v>
      </c>
      <c r="C650" s="37">
        <v>46010.0</v>
      </c>
      <c r="F650" s="38">
        <v>0.4583333333333333</v>
      </c>
      <c r="I650" s="39" t="s">
        <v>1512</v>
      </c>
      <c r="S650" s="39" t="s">
        <v>1513</v>
      </c>
      <c r="AE650" s="40">
        <v>0.2361111111111111</v>
      </c>
      <c r="AG650" s="39" t="s">
        <v>176</v>
      </c>
      <c r="AJ650" s="41" t="s">
        <v>1514</v>
      </c>
      <c r="AL650" s="42" t="s">
        <v>1515</v>
      </c>
      <c r="AP650" s="43" t="str">
        <f t="shared" si="4"/>
        <v>REALIZADO</v>
      </c>
      <c r="AV650" s="44" t="s">
        <v>46</v>
      </c>
      <c r="AW650" s="45"/>
      <c r="AX650" s="35"/>
    </row>
    <row r="651">
      <c r="A651" s="24"/>
      <c r="B651" s="36" t="s">
        <v>34</v>
      </c>
      <c r="C651" s="37">
        <v>46011.0</v>
      </c>
      <c r="F651" s="38">
        <v>0.5416666666666666</v>
      </c>
      <c r="I651" s="39" t="s">
        <v>1516</v>
      </c>
      <c r="S651" s="39" t="s">
        <v>1517</v>
      </c>
      <c r="AE651" s="40">
        <v>0.04861111111111111</v>
      </c>
      <c r="AG651" s="39" t="s">
        <v>176</v>
      </c>
      <c r="AJ651" s="41" t="s">
        <v>1518</v>
      </c>
      <c r="AL651" s="42" t="s">
        <v>512</v>
      </c>
      <c r="AP651" s="43" t="str">
        <f t="shared" si="4"/>
        <v>REALIZADO</v>
      </c>
      <c r="AV651" s="44" t="s">
        <v>46</v>
      </c>
      <c r="AW651" s="45"/>
      <c r="AX651" s="35"/>
    </row>
    <row r="652">
      <c r="A652" s="24"/>
      <c r="B652" s="36" t="s">
        <v>41</v>
      </c>
      <c r="C652" s="37">
        <v>46013.0</v>
      </c>
      <c r="F652" s="38">
        <v>0.7708333333333334</v>
      </c>
      <c r="I652" s="39" t="s">
        <v>1519</v>
      </c>
      <c r="S652" s="39" t="s">
        <v>414</v>
      </c>
      <c r="AE652" s="40">
        <v>0.08333333333333333</v>
      </c>
      <c r="AG652" s="39" t="s">
        <v>703</v>
      </c>
      <c r="AJ652" s="41" t="s">
        <v>44</v>
      </c>
      <c r="AL652" s="42" t="s">
        <v>414</v>
      </c>
      <c r="AP652" s="43" t="str">
        <f t="shared" si="4"/>
        <v>REALIZADO</v>
      </c>
      <c r="AV652" s="44" t="s">
        <v>46</v>
      </c>
      <c r="AW652" s="45"/>
      <c r="AX652" s="35"/>
    </row>
    <row r="653">
      <c r="A653" s="24"/>
      <c r="B653" s="36" t="s">
        <v>34</v>
      </c>
      <c r="C653" s="37">
        <v>46014.0</v>
      </c>
      <c r="F653" s="38">
        <v>0.5</v>
      </c>
      <c r="I653" s="39" t="s">
        <v>1520</v>
      </c>
      <c r="S653" s="39" t="s">
        <v>1521</v>
      </c>
      <c r="AE653" s="40">
        <v>0.2673611111111111</v>
      </c>
      <c r="AG653" s="39" t="s">
        <v>1522</v>
      </c>
      <c r="AJ653" s="41" t="s">
        <v>1523</v>
      </c>
      <c r="AL653" s="42" t="s">
        <v>259</v>
      </c>
      <c r="AP653" s="43" t="str">
        <f t="shared" si="4"/>
        <v>REALIZADO</v>
      </c>
      <c r="AV653" s="44" t="s">
        <v>46</v>
      </c>
      <c r="AW653" s="45"/>
      <c r="AX653" s="35"/>
    </row>
    <row r="654">
      <c r="A654" s="24"/>
      <c r="B654" s="36" t="s">
        <v>41</v>
      </c>
      <c r="C654" s="37">
        <v>46014.0</v>
      </c>
      <c r="F654" s="38">
        <v>0.7708333333333334</v>
      </c>
      <c r="I654" s="39" t="s">
        <v>1519</v>
      </c>
      <c r="S654" s="39" t="s">
        <v>414</v>
      </c>
      <c r="AE654" s="40">
        <v>0.041666666666666664</v>
      </c>
      <c r="AG654" s="39" t="s">
        <v>414</v>
      </c>
      <c r="AJ654" s="41" t="s">
        <v>44</v>
      </c>
      <c r="AL654" s="42" t="s">
        <v>414</v>
      </c>
      <c r="AP654" s="43" t="str">
        <f t="shared" si="4"/>
        <v>REALIZADO</v>
      </c>
      <c r="AV654" s="44" t="s">
        <v>46</v>
      </c>
      <c r="AW654" s="45"/>
      <c r="AX654" s="35"/>
    </row>
    <row r="655">
      <c r="A655" s="24"/>
      <c r="B655" s="36" t="s">
        <v>34</v>
      </c>
      <c r="C655" s="37">
        <v>46014.0</v>
      </c>
      <c r="F655" s="38">
        <v>0.5</v>
      </c>
      <c r="I655" s="39" t="s">
        <v>1524</v>
      </c>
      <c r="S655" s="39" t="s">
        <v>1525</v>
      </c>
      <c r="AE655" s="40">
        <v>0.16319444444444445</v>
      </c>
      <c r="AG655" s="39" t="s">
        <v>176</v>
      </c>
      <c r="AJ655" s="41" t="s">
        <v>44</v>
      </c>
      <c r="AL655" s="42" t="s">
        <v>1250</v>
      </c>
      <c r="AP655" s="43" t="str">
        <f t="shared" si="4"/>
        <v>ABORTIVA</v>
      </c>
      <c r="AV655" s="44" t="s">
        <v>69</v>
      </c>
      <c r="AW655" s="45"/>
      <c r="AX655" s="35"/>
    </row>
    <row r="656">
      <c r="A656" s="24"/>
      <c r="B656" s="36" t="s">
        <v>41</v>
      </c>
      <c r="C656" s="37">
        <v>46014.0</v>
      </c>
      <c r="F656" s="38">
        <v>0.5</v>
      </c>
      <c r="I656" s="39" t="s">
        <v>1526</v>
      </c>
      <c r="S656" s="39" t="s">
        <v>268</v>
      </c>
      <c r="AE656" s="40">
        <v>0.020833333333333332</v>
      </c>
      <c r="AG656" s="39" t="s">
        <v>176</v>
      </c>
      <c r="AJ656" s="61" t="s">
        <v>1527</v>
      </c>
      <c r="AL656" s="42" t="s">
        <v>53</v>
      </c>
      <c r="AP656" s="43" t="str">
        <f t="shared" si="4"/>
        <v>REALIZADO</v>
      </c>
      <c r="AV656" s="44" t="s">
        <v>46</v>
      </c>
      <c r="AW656" s="45"/>
      <c r="AX656" s="35"/>
    </row>
    <row r="657">
      <c r="A657" s="24"/>
      <c r="B657" s="36" t="s">
        <v>34</v>
      </c>
      <c r="C657" s="37">
        <v>46014.0</v>
      </c>
      <c r="F657" s="38">
        <v>0.6666666666666666</v>
      </c>
      <c r="I657" s="39" t="s">
        <v>1528</v>
      </c>
      <c r="S657" s="39" t="s">
        <v>1517</v>
      </c>
      <c r="AE657" s="40">
        <v>0.03819444444444445</v>
      </c>
      <c r="AG657" s="39" t="s">
        <v>176</v>
      </c>
      <c r="AJ657" s="64" t="s">
        <v>1529</v>
      </c>
      <c r="AL657" s="42" t="s">
        <v>1444</v>
      </c>
      <c r="AP657" s="43" t="str">
        <f t="shared" si="4"/>
        <v>REALIZADO</v>
      </c>
      <c r="AV657" s="44" t="s">
        <v>46</v>
      </c>
      <c r="AW657" s="45"/>
      <c r="AX657" s="35"/>
    </row>
    <row r="658">
      <c r="A658" s="24"/>
      <c r="B658" s="36" t="s">
        <v>34</v>
      </c>
      <c r="C658" s="37">
        <v>46017.0</v>
      </c>
      <c r="F658" s="38">
        <v>0.5</v>
      </c>
      <c r="I658" s="39" t="s">
        <v>1530</v>
      </c>
      <c r="S658" s="39" t="s">
        <v>1525</v>
      </c>
      <c r="AE658" s="40">
        <v>0.16319444444444445</v>
      </c>
      <c r="AG658" s="39" t="s">
        <v>176</v>
      </c>
      <c r="AJ658" s="41" t="s">
        <v>44</v>
      </c>
      <c r="AL658" s="42" t="s">
        <v>1515</v>
      </c>
      <c r="AP658" s="43" t="str">
        <f t="shared" si="4"/>
        <v>ABORTIVA</v>
      </c>
      <c r="AV658" s="44" t="s">
        <v>69</v>
      </c>
      <c r="AW658" s="45"/>
      <c r="AX658" s="35"/>
    </row>
    <row r="659">
      <c r="A659" s="24"/>
      <c r="B659" s="36" t="s">
        <v>34</v>
      </c>
      <c r="C659" s="37">
        <v>46019.0</v>
      </c>
      <c r="F659" s="38">
        <v>0.5</v>
      </c>
      <c r="I659" s="39" t="s">
        <v>1530</v>
      </c>
      <c r="S659" s="39" t="s">
        <v>1525</v>
      </c>
      <c r="AE659" s="40">
        <v>0.16319444444444445</v>
      </c>
      <c r="AG659" s="39" t="s">
        <v>176</v>
      </c>
      <c r="AJ659" s="41" t="s">
        <v>1531</v>
      </c>
      <c r="AL659" s="42" t="s">
        <v>1250</v>
      </c>
      <c r="AP659" s="43" t="str">
        <f t="shared" si="4"/>
        <v>REALIZADO</v>
      </c>
      <c r="AV659" s="44" t="s">
        <v>46</v>
      </c>
      <c r="AW659" s="45"/>
      <c r="AX659" s="35"/>
    </row>
    <row r="660">
      <c r="A660" s="24"/>
      <c r="B660" s="36" t="s">
        <v>34</v>
      </c>
      <c r="C660" s="37">
        <v>46019.0</v>
      </c>
      <c r="F660" s="38">
        <v>0.75</v>
      </c>
      <c r="I660" s="39" t="s">
        <v>1532</v>
      </c>
      <c r="S660" s="39" t="s">
        <v>1533</v>
      </c>
      <c r="AE660" s="40">
        <v>0.4166666666666667</v>
      </c>
      <c r="AG660" s="39" t="s">
        <v>1534</v>
      </c>
      <c r="AJ660" s="41" t="s">
        <v>1535</v>
      </c>
      <c r="AL660" s="42" t="s">
        <v>1250</v>
      </c>
      <c r="AP660" s="43" t="str">
        <f t="shared" si="4"/>
        <v>REALIZADO</v>
      </c>
      <c r="AV660" s="44" t="s">
        <v>46</v>
      </c>
      <c r="AW660" s="45"/>
      <c r="AX660" s="35"/>
    </row>
    <row r="661">
      <c r="A661" s="24"/>
      <c r="B661" s="36" t="s">
        <v>34</v>
      </c>
      <c r="C661" s="37">
        <v>46020.0</v>
      </c>
      <c r="F661" s="38">
        <v>0.4166666666666667</v>
      </c>
      <c r="I661" s="39" t="s">
        <v>1536</v>
      </c>
      <c r="S661" s="39" t="s">
        <v>1525</v>
      </c>
      <c r="AE661" s="40">
        <v>0.16319444444444445</v>
      </c>
      <c r="AG661" s="39" t="s">
        <v>176</v>
      </c>
      <c r="AJ661" s="41" t="s">
        <v>1537</v>
      </c>
      <c r="AL661" s="42" t="s">
        <v>1515</v>
      </c>
      <c r="AP661" s="43" t="str">
        <f t="shared" si="4"/>
        <v>REALIZADO</v>
      </c>
      <c r="AV661" s="44" t="s">
        <v>46</v>
      </c>
      <c r="AW661" s="45"/>
      <c r="AX661" s="35"/>
    </row>
    <row r="662">
      <c r="A662" s="24"/>
      <c r="B662" s="36" t="s">
        <v>41</v>
      </c>
      <c r="C662" s="37">
        <v>46020.0</v>
      </c>
      <c r="F662" s="38">
        <v>0.5</v>
      </c>
      <c r="I662" s="39" t="s">
        <v>1538</v>
      </c>
      <c r="S662" s="39" t="s">
        <v>268</v>
      </c>
      <c r="AE662" s="40">
        <v>0.03125</v>
      </c>
      <c r="AG662" s="39" t="s">
        <v>176</v>
      </c>
      <c r="AJ662" s="61" t="s">
        <v>1539</v>
      </c>
      <c r="AL662" s="42" t="s">
        <v>53</v>
      </c>
      <c r="AP662" s="43" t="str">
        <f t="shared" si="4"/>
        <v>REALIZADO</v>
      </c>
      <c r="AV662" s="44" t="s">
        <v>46</v>
      </c>
      <c r="AW662" s="45"/>
      <c r="AX662" s="35"/>
    </row>
    <row r="663">
      <c r="A663" s="24"/>
      <c r="B663" s="36" t="s">
        <v>41</v>
      </c>
      <c r="C663" s="37">
        <v>46020.0</v>
      </c>
      <c r="F663" s="38">
        <v>0.5625</v>
      </c>
      <c r="I663" s="39" t="s">
        <v>1540</v>
      </c>
      <c r="S663" s="39" t="s">
        <v>268</v>
      </c>
      <c r="AE663" s="40">
        <v>0.03125</v>
      </c>
      <c r="AG663" s="39" t="s">
        <v>176</v>
      </c>
      <c r="AJ663" s="61" t="s">
        <v>1541</v>
      </c>
      <c r="AL663" s="42" t="s">
        <v>53</v>
      </c>
      <c r="AP663" s="43" t="str">
        <f t="shared" si="4"/>
        <v>REALIZADO</v>
      </c>
      <c r="AV663" s="44" t="s">
        <v>46</v>
      </c>
      <c r="AW663" s="45"/>
      <c r="AX663" s="35"/>
    </row>
    <row r="664">
      <c r="A664" s="24"/>
      <c r="B664" s="36" t="s">
        <v>41</v>
      </c>
      <c r="C664" s="37">
        <v>46020.0</v>
      </c>
      <c r="F664" s="38">
        <v>0.5</v>
      </c>
      <c r="I664" s="39" t="s">
        <v>1542</v>
      </c>
      <c r="S664" s="39" t="s">
        <v>1389</v>
      </c>
      <c r="AE664" s="40">
        <v>0.041666666666666664</v>
      </c>
      <c r="AG664" s="39" t="s">
        <v>1475</v>
      </c>
      <c r="AJ664" s="41" t="s">
        <v>44</v>
      </c>
      <c r="AL664" s="42" t="s">
        <v>1515</v>
      </c>
      <c r="AP664" s="43" t="str">
        <f t="shared" si="4"/>
        <v>ABORTIVA</v>
      </c>
      <c r="AV664" s="44" t="s">
        <v>69</v>
      </c>
      <c r="AW664" s="45"/>
      <c r="AX664" s="35"/>
    </row>
    <row r="665">
      <c r="A665" s="24"/>
      <c r="B665" s="36" t="s">
        <v>41</v>
      </c>
      <c r="C665" s="37">
        <v>46020.0</v>
      </c>
      <c r="F665" s="38">
        <v>0.5</v>
      </c>
      <c r="I665" s="39" t="s">
        <v>1543</v>
      </c>
      <c r="S665" s="39" t="s">
        <v>1389</v>
      </c>
      <c r="AE665" s="40">
        <v>0.041666666666666664</v>
      </c>
      <c r="AG665" s="39" t="s">
        <v>1475</v>
      </c>
      <c r="AJ665" s="41" t="s">
        <v>44</v>
      </c>
      <c r="AL665" s="42" t="s">
        <v>1250</v>
      </c>
      <c r="AP665" s="43" t="str">
        <f t="shared" si="4"/>
        <v>ABORTIVA</v>
      </c>
      <c r="AV665" s="44" t="s">
        <v>69</v>
      </c>
      <c r="AW665" s="45"/>
      <c r="AX665" s="35"/>
    </row>
    <row r="666">
      <c r="A666" s="24"/>
      <c r="B666" s="36" t="s">
        <v>41</v>
      </c>
      <c r="C666" s="37">
        <v>46020.0</v>
      </c>
      <c r="F666" s="38">
        <v>0.5625</v>
      </c>
      <c r="I666" s="39" t="s">
        <v>1544</v>
      </c>
      <c r="S666" s="39" t="s">
        <v>1389</v>
      </c>
      <c r="AE666" s="40">
        <v>0.041666666666666664</v>
      </c>
      <c r="AG666" s="39" t="s">
        <v>1475</v>
      </c>
      <c r="AJ666" s="41" t="s">
        <v>44</v>
      </c>
      <c r="AL666" s="42" t="s">
        <v>1515</v>
      </c>
      <c r="AP666" s="43" t="str">
        <f t="shared" si="4"/>
        <v>ABORTIVA</v>
      </c>
      <c r="AV666" s="44" t="s">
        <v>69</v>
      </c>
      <c r="AW666" s="45"/>
      <c r="AX666" s="35"/>
    </row>
    <row r="667">
      <c r="A667" s="24"/>
      <c r="B667" s="36" t="s">
        <v>41</v>
      </c>
      <c r="C667" s="37">
        <v>46020.0</v>
      </c>
      <c r="F667" s="38">
        <v>0.5625</v>
      </c>
      <c r="I667" s="39" t="s">
        <v>1545</v>
      </c>
      <c r="S667" s="39" t="s">
        <v>1389</v>
      </c>
      <c r="AE667" s="40">
        <v>0.041666666666666664</v>
      </c>
      <c r="AG667" s="39" t="s">
        <v>1475</v>
      </c>
      <c r="AJ667" s="41" t="s">
        <v>44</v>
      </c>
      <c r="AL667" s="42" t="s">
        <v>1250</v>
      </c>
      <c r="AP667" s="43" t="str">
        <f t="shared" si="4"/>
        <v>ABORTIVA</v>
      </c>
      <c r="AV667" s="44" t="s">
        <v>69</v>
      </c>
      <c r="AW667" s="45"/>
      <c r="AX667" s="35"/>
    </row>
    <row r="668">
      <c r="A668" s="24"/>
      <c r="B668" s="36" t="s">
        <v>41</v>
      </c>
      <c r="C668" s="37">
        <v>46020.0</v>
      </c>
      <c r="F668" s="38">
        <v>0.75</v>
      </c>
      <c r="I668" s="39" t="s">
        <v>1546</v>
      </c>
      <c r="S668" s="39" t="s">
        <v>1389</v>
      </c>
      <c r="AE668" s="40">
        <v>0.041666666666666664</v>
      </c>
      <c r="AG668" s="39" t="s">
        <v>1475</v>
      </c>
      <c r="AJ668" s="61" t="s">
        <v>1547</v>
      </c>
      <c r="AL668" s="42" t="s">
        <v>1515</v>
      </c>
      <c r="AP668" s="43" t="str">
        <f t="shared" si="4"/>
        <v>REALIZADO</v>
      </c>
      <c r="AV668" s="44" t="s">
        <v>46</v>
      </c>
      <c r="AW668" s="45"/>
      <c r="AX668" s="35"/>
    </row>
    <row r="669">
      <c r="A669" s="24"/>
      <c r="B669" s="36" t="s">
        <v>41</v>
      </c>
      <c r="C669" s="37">
        <v>46020.0</v>
      </c>
      <c r="F669" s="38">
        <v>0.75</v>
      </c>
      <c r="I669" s="39" t="s">
        <v>1548</v>
      </c>
      <c r="S669" s="39" t="s">
        <v>1389</v>
      </c>
      <c r="AE669" s="40">
        <v>0.041666666666666664</v>
      </c>
      <c r="AG669" s="39" t="s">
        <v>1475</v>
      </c>
      <c r="AJ669" s="61" t="s">
        <v>1547</v>
      </c>
      <c r="AL669" s="42" t="s">
        <v>1250</v>
      </c>
      <c r="AP669" s="43" t="str">
        <f t="shared" si="4"/>
        <v>REALIZADO</v>
      </c>
      <c r="AV669" s="44" t="s">
        <v>46</v>
      </c>
      <c r="AW669" s="45"/>
      <c r="AX669" s="35"/>
    </row>
    <row r="670">
      <c r="A670" s="24"/>
      <c r="B670" s="36" t="s">
        <v>41</v>
      </c>
      <c r="C670" s="37">
        <v>46020.0</v>
      </c>
      <c r="F670" s="38">
        <v>0.8125</v>
      </c>
      <c r="I670" s="39" t="s">
        <v>1549</v>
      </c>
      <c r="S670" s="39" t="s">
        <v>1389</v>
      </c>
      <c r="AE670" s="40">
        <v>0.041666666666666664</v>
      </c>
      <c r="AG670" s="39" t="s">
        <v>1475</v>
      </c>
      <c r="AJ670" s="61" t="s">
        <v>1550</v>
      </c>
      <c r="AL670" s="42" t="s">
        <v>1515</v>
      </c>
      <c r="AP670" s="43" t="str">
        <f t="shared" si="4"/>
        <v>REALIZADO</v>
      </c>
      <c r="AV670" s="44" t="s">
        <v>46</v>
      </c>
      <c r="AW670" s="45"/>
      <c r="AX670" s="35"/>
    </row>
    <row r="671">
      <c r="A671" s="24"/>
      <c r="B671" s="36" t="s">
        <v>41</v>
      </c>
      <c r="C671" s="37">
        <v>46020.0</v>
      </c>
      <c r="F671" s="38">
        <v>0.8125</v>
      </c>
      <c r="I671" s="39" t="s">
        <v>1545</v>
      </c>
      <c r="S671" s="39" t="s">
        <v>1389</v>
      </c>
      <c r="AE671" s="40">
        <v>0.041666666666666664</v>
      </c>
      <c r="AG671" s="39" t="s">
        <v>1475</v>
      </c>
      <c r="AJ671" s="61" t="s">
        <v>1550</v>
      </c>
      <c r="AL671" s="42" t="s">
        <v>1250</v>
      </c>
      <c r="AP671" s="43" t="str">
        <f t="shared" si="4"/>
        <v>REALIZADO</v>
      </c>
      <c r="AV671" s="44" t="s">
        <v>46</v>
      </c>
      <c r="AW671" s="45"/>
      <c r="AX671" s="35"/>
    </row>
    <row r="672">
      <c r="A672" s="24"/>
      <c r="B672" s="36" t="s">
        <v>34</v>
      </c>
      <c r="C672" s="37">
        <v>46021.0</v>
      </c>
      <c r="F672" s="38">
        <v>0.5</v>
      </c>
      <c r="I672" s="39" t="s">
        <v>1551</v>
      </c>
      <c r="S672" s="39" t="s">
        <v>1552</v>
      </c>
      <c r="AE672" s="40">
        <v>0.1423611111111111</v>
      </c>
      <c r="AG672" s="39" t="s">
        <v>176</v>
      </c>
      <c r="AJ672" s="41" t="s">
        <v>1553</v>
      </c>
      <c r="AL672" s="42" t="s">
        <v>1250</v>
      </c>
      <c r="AP672" s="43" t="str">
        <f t="shared" si="4"/>
        <v>REALIZADO</v>
      </c>
      <c r="AV672" s="44" t="s">
        <v>46</v>
      </c>
      <c r="AW672" s="45"/>
      <c r="AX672" s="35"/>
    </row>
    <row r="673">
      <c r="A673" s="24"/>
      <c r="B673" s="36" t="s">
        <v>41</v>
      </c>
      <c r="C673" s="37">
        <v>46021.0</v>
      </c>
      <c r="F673" s="38">
        <v>0.7083333333333334</v>
      </c>
      <c r="I673" s="39" t="s">
        <v>1554</v>
      </c>
      <c r="S673" s="39" t="s">
        <v>268</v>
      </c>
      <c r="AE673" s="40">
        <v>0.03125</v>
      </c>
      <c r="AG673" s="39" t="s">
        <v>176</v>
      </c>
      <c r="AJ673" s="41" t="s">
        <v>1555</v>
      </c>
      <c r="AL673" s="42" t="s">
        <v>53</v>
      </c>
      <c r="AP673" s="43" t="str">
        <f t="shared" si="4"/>
        <v>REALIZADO</v>
      </c>
      <c r="AV673" s="44" t="s">
        <v>46</v>
      </c>
      <c r="AW673" s="45"/>
      <c r="AX673" s="35"/>
    </row>
    <row r="674">
      <c r="A674" s="24"/>
      <c r="B674" s="36" t="s">
        <v>41</v>
      </c>
      <c r="C674" s="37">
        <v>46022.0</v>
      </c>
      <c r="F674" s="38">
        <v>0.4583333333333333</v>
      </c>
      <c r="I674" s="39" t="s">
        <v>1556</v>
      </c>
      <c r="S674" s="39" t="s">
        <v>1389</v>
      </c>
      <c r="AE674" s="40">
        <v>0.041666666666666664</v>
      </c>
      <c r="AG674" s="39" t="s">
        <v>1475</v>
      </c>
      <c r="AJ674" s="41" t="s">
        <v>44</v>
      </c>
      <c r="AL674" s="42" t="s">
        <v>1515</v>
      </c>
      <c r="AP674" s="43" t="str">
        <f t="shared" si="4"/>
        <v>ABORTIVA</v>
      </c>
      <c r="AV674" s="44" t="s">
        <v>69</v>
      </c>
      <c r="AW674" s="45"/>
      <c r="AX674" s="35"/>
    </row>
    <row r="675">
      <c r="A675" s="24"/>
      <c r="B675" s="36" t="s">
        <v>41</v>
      </c>
      <c r="C675" s="37">
        <v>46022.0</v>
      </c>
      <c r="F675" s="38">
        <v>0.4583333333333333</v>
      </c>
      <c r="I675" s="39" t="s">
        <v>1557</v>
      </c>
      <c r="S675" s="39" t="s">
        <v>1389</v>
      </c>
      <c r="AE675" s="40">
        <v>0.041666666666666664</v>
      </c>
      <c r="AG675" s="39" t="s">
        <v>1475</v>
      </c>
      <c r="AJ675" s="41" t="s">
        <v>44</v>
      </c>
      <c r="AL675" s="42" t="s">
        <v>1250</v>
      </c>
      <c r="AP675" s="43" t="str">
        <f t="shared" si="4"/>
        <v>ABORTIVA</v>
      </c>
      <c r="AV675" s="44" t="s">
        <v>69</v>
      </c>
      <c r="AW675" s="45"/>
      <c r="AX675" s="35"/>
    </row>
    <row r="676">
      <c r="A676" s="24"/>
      <c r="B676" s="36" t="s">
        <v>41</v>
      </c>
      <c r="C676" s="37">
        <v>46022.0</v>
      </c>
      <c r="F676" s="38">
        <v>0.5208333333333334</v>
      </c>
      <c r="I676" s="39" t="s">
        <v>1558</v>
      </c>
      <c r="S676" s="39" t="s">
        <v>1389</v>
      </c>
      <c r="AE676" s="40">
        <v>0.041666666666666664</v>
      </c>
      <c r="AG676" s="39" t="s">
        <v>1475</v>
      </c>
      <c r="AJ676" s="41" t="s">
        <v>44</v>
      </c>
      <c r="AL676" s="42" t="s">
        <v>1515</v>
      </c>
      <c r="AP676" s="43" t="str">
        <f t="shared" si="4"/>
        <v>ABORTIVA</v>
      </c>
      <c r="AV676" s="44" t="s">
        <v>69</v>
      </c>
      <c r="AW676" s="45"/>
      <c r="AX676" s="35"/>
    </row>
    <row r="677">
      <c r="A677" s="24"/>
      <c r="B677" s="36" t="s">
        <v>41</v>
      </c>
      <c r="C677" s="37">
        <v>46022.0</v>
      </c>
      <c r="F677" s="38">
        <v>0.5208333333333334</v>
      </c>
      <c r="I677" s="39" t="s">
        <v>1559</v>
      </c>
      <c r="S677" s="39" t="s">
        <v>1389</v>
      </c>
      <c r="AE677" s="40">
        <v>0.041666666666666664</v>
      </c>
      <c r="AG677" s="39" t="s">
        <v>1475</v>
      </c>
      <c r="AJ677" s="41" t="s">
        <v>44</v>
      </c>
      <c r="AL677" s="42" t="s">
        <v>1250</v>
      </c>
      <c r="AP677" s="43" t="str">
        <f t="shared" si="4"/>
        <v>ABORTIVA</v>
      </c>
      <c r="AV677" s="44" t="s">
        <v>69</v>
      </c>
      <c r="AW677" s="45"/>
      <c r="AX677" s="35"/>
    </row>
    <row r="678">
      <c r="A678" s="24"/>
      <c r="B678" s="36" t="s">
        <v>34</v>
      </c>
      <c r="C678" s="37">
        <v>46022.0</v>
      </c>
      <c r="F678" s="38">
        <v>0.5</v>
      </c>
      <c r="I678" s="39" t="s">
        <v>999</v>
      </c>
      <c r="S678" s="39" t="s">
        <v>1560</v>
      </c>
      <c r="AE678" s="40">
        <v>0.1875</v>
      </c>
      <c r="AG678" s="39" t="s">
        <v>176</v>
      </c>
      <c r="AJ678" s="41" t="s">
        <v>44</v>
      </c>
      <c r="AL678" s="42" t="s">
        <v>1250</v>
      </c>
      <c r="AP678" s="43" t="str">
        <f t="shared" si="4"/>
        <v>ABORTIVA</v>
      </c>
      <c r="AV678" s="44" t="s">
        <v>69</v>
      </c>
      <c r="AW678" s="45"/>
      <c r="AX678" s="35"/>
    </row>
    <row r="679">
      <c r="A679" s="24"/>
      <c r="B679" s="36"/>
      <c r="C679" s="37"/>
      <c r="F679" s="38"/>
      <c r="I679" s="39"/>
      <c r="S679" s="39"/>
      <c r="AE679" s="40"/>
      <c r="AG679" s="39"/>
      <c r="AJ679" s="41"/>
      <c r="AL679" s="42"/>
      <c r="AP679" s="43" t="str">
        <f t="shared" si="4"/>
        <v/>
      </c>
      <c r="AV679" s="44"/>
      <c r="AW679" s="45"/>
      <c r="AX679" s="35"/>
    </row>
    <row r="680">
      <c r="A680" s="24"/>
      <c r="B680" s="36"/>
      <c r="C680" s="37"/>
      <c r="F680" s="38"/>
      <c r="I680" s="39"/>
      <c r="S680" s="39"/>
      <c r="AE680" s="40"/>
      <c r="AG680" s="39"/>
      <c r="AJ680" s="41"/>
      <c r="AL680" s="42"/>
      <c r="AP680" s="43" t="str">
        <f t="shared" si="4"/>
        <v/>
      </c>
      <c r="AV680" s="44"/>
      <c r="AW680" s="45"/>
      <c r="AX680" s="35"/>
    </row>
    <row r="681">
      <c r="A681" s="24"/>
      <c r="B681" s="36"/>
      <c r="C681" s="37"/>
      <c r="F681" s="38"/>
      <c r="I681" s="39"/>
      <c r="S681" s="39"/>
      <c r="AE681" s="40"/>
      <c r="AG681" s="39"/>
      <c r="AJ681" s="41"/>
      <c r="AL681" s="42"/>
      <c r="AP681" s="43" t="str">
        <f t="shared" si="4"/>
        <v/>
      </c>
      <c r="AV681" s="44"/>
      <c r="AW681" s="45"/>
      <c r="AX681" s="35"/>
    </row>
    <row r="682">
      <c r="A682" s="24"/>
      <c r="B682" s="36"/>
      <c r="C682" s="37"/>
      <c r="F682" s="38"/>
      <c r="I682" s="39"/>
      <c r="S682" s="39"/>
      <c r="AE682" s="40"/>
      <c r="AG682" s="39"/>
      <c r="AJ682" s="41"/>
      <c r="AL682" s="42"/>
      <c r="AP682" s="43" t="str">
        <f t="shared" si="4"/>
        <v/>
      </c>
      <c r="AV682" s="44"/>
      <c r="AW682" s="45"/>
      <c r="AX682" s="35"/>
    </row>
  </sheetData>
  <mergeCells count="6810">
    <mergeCell ref="AL348:AO348"/>
    <mergeCell ref="AP348:AU348"/>
    <mergeCell ref="AV348:AW348"/>
    <mergeCell ref="C348:E348"/>
    <mergeCell ref="F348:H348"/>
    <mergeCell ref="I348:R348"/>
    <mergeCell ref="S348:AD348"/>
    <mergeCell ref="AE348:AF348"/>
    <mergeCell ref="AG348:AI348"/>
    <mergeCell ref="AJ348:AK348"/>
    <mergeCell ref="AL349:AO349"/>
    <mergeCell ref="AP349:AU349"/>
    <mergeCell ref="AV349:AW349"/>
    <mergeCell ref="C349:E349"/>
    <mergeCell ref="F349:H349"/>
    <mergeCell ref="I349:R349"/>
    <mergeCell ref="S349:AD349"/>
    <mergeCell ref="AE349:AF349"/>
    <mergeCell ref="AG349:AI349"/>
    <mergeCell ref="AJ349:AK349"/>
    <mergeCell ref="AL350:AO350"/>
    <mergeCell ref="AP350:AU350"/>
    <mergeCell ref="AV350:AW350"/>
    <mergeCell ref="C350:E350"/>
    <mergeCell ref="F350:H350"/>
    <mergeCell ref="I350:R350"/>
    <mergeCell ref="S350:AD350"/>
    <mergeCell ref="AE350:AF350"/>
    <mergeCell ref="AG350:AI350"/>
    <mergeCell ref="AJ350:AK350"/>
    <mergeCell ref="AL351:AO351"/>
    <mergeCell ref="AP351:AU351"/>
    <mergeCell ref="AV351:AW351"/>
    <mergeCell ref="C351:E351"/>
    <mergeCell ref="F351:H351"/>
    <mergeCell ref="I351:R351"/>
    <mergeCell ref="S351:AD351"/>
    <mergeCell ref="AE351:AF351"/>
    <mergeCell ref="AG351:AI351"/>
    <mergeCell ref="AJ351:AK351"/>
    <mergeCell ref="AL352:AO352"/>
    <mergeCell ref="AP352:AU352"/>
    <mergeCell ref="AV352:AW352"/>
    <mergeCell ref="C352:E352"/>
    <mergeCell ref="F352:H352"/>
    <mergeCell ref="I352:R352"/>
    <mergeCell ref="S352:AD352"/>
    <mergeCell ref="AE352:AF352"/>
    <mergeCell ref="AG352:AI352"/>
    <mergeCell ref="AJ352:AK352"/>
    <mergeCell ref="AL353:AO353"/>
    <mergeCell ref="AP353:AU353"/>
    <mergeCell ref="AV353:AW353"/>
    <mergeCell ref="C353:E353"/>
    <mergeCell ref="F353:H353"/>
    <mergeCell ref="I353:R353"/>
    <mergeCell ref="S353:AD353"/>
    <mergeCell ref="AE353:AF353"/>
    <mergeCell ref="AG353:AI353"/>
    <mergeCell ref="AJ353:AK353"/>
    <mergeCell ref="AL354:AO354"/>
    <mergeCell ref="AP354:AU354"/>
    <mergeCell ref="AV354:AW354"/>
    <mergeCell ref="C354:E354"/>
    <mergeCell ref="F354:H354"/>
    <mergeCell ref="I354:R354"/>
    <mergeCell ref="S354:AD354"/>
    <mergeCell ref="AE354:AF354"/>
    <mergeCell ref="AG354:AI354"/>
    <mergeCell ref="AJ354:AK354"/>
    <mergeCell ref="AL355:AO355"/>
    <mergeCell ref="AP355:AU355"/>
    <mergeCell ref="AV355:AW355"/>
    <mergeCell ref="C355:E355"/>
    <mergeCell ref="F355:H355"/>
    <mergeCell ref="I355:R355"/>
    <mergeCell ref="S355:AD355"/>
    <mergeCell ref="AE355:AF355"/>
    <mergeCell ref="AG355:AI355"/>
    <mergeCell ref="AJ355:AK355"/>
    <mergeCell ref="AL356:AO356"/>
    <mergeCell ref="AP356:AU356"/>
    <mergeCell ref="AV356:AW356"/>
    <mergeCell ref="C356:E356"/>
    <mergeCell ref="F356:H356"/>
    <mergeCell ref="I356:R356"/>
    <mergeCell ref="S356:AD356"/>
    <mergeCell ref="AE356:AF356"/>
    <mergeCell ref="AG356:AI356"/>
    <mergeCell ref="AJ356:AK356"/>
    <mergeCell ref="AL357:AO357"/>
    <mergeCell ref="AP357:AU357"/>
    <mergeCell ref="AV357:AW357"/>
    <mergeCell ref="C357:E357"/>
    <mergeCell ref="F357:H357"/>
    <mergeCell ref="I357:R357"/>
    <mergeCell ref="S357:AD357"/>
    <mergeCell ref="AE357:AF357"/>
    <mergeCell ref="AG357:AI357"/>
    <mergeCell ref="AJ357:AK357"/>
    <mergeCell ref="AL358:AO358"/>
    <mergeCell ref="AP358:AU358"/>
    <mergeCell ref="AV358:AW358"/>
    <mergeCell ref="C358:E358"/>
    <mergeCell ref="F358:H358"/>
    <mergeCell ref="I358:R358"/>
    <mergeCell ref="S358:AD358"/>
    <mergeCell ref="AE358:AF358"/>
    <mergeCell ref="AG358:AI358"/>
    <mergeCell ref="AJ358:AK358"/>
    <mergeCell ref="AL359:AO359"/>
    <mergeCell ref="AP359:AU359"/>
    <mergeCell ref="AV359:AW359"/>
    <mergeCell ref="C359:E359"/>
    <mergeCell ref="F359:H359"/>
    <mergeCell ref="I359:R359"/>
    <mergeCell ref="S359:AD359"/>
    <mergeCell ref="AE359:AF359"/>
    <mergeCell ref="AG359:AI359"/>
    <mergeCell ref="AJ359:AK359"/>
    <mergeCell ref="AL360:AO360"/>
    <mergeCell ref="AP360:AU360"/>
    <mergeCell ref="AV360:AW360"/>
    <mergeCell ref="C360:E360"/>
    <mergeCell ref="F360:H360"/>
    <mergeCell ref="I360:R360"/>
    <mergeCell ref="S360:AD360"/>
    <mergeCell ref="AE360:AF360"/>
    <mergeCell ref="AG360:AI360"/>
    <mergeCell ref="AJ360:AK360"/>
    <mergeCell ref="AL361:AO361"/>
    <mergeCell ref="AP361:AU361"/>
    <mergeCell ref="AV361:AW361"/>
    <mergeCell ref="C361:E361"/>
    <mergeCell ref="F361:H361"/>
    <mergeCell ref="I361:R361"/>
    <mergeCell ref="S361:AD361"/>
    <mergeCell ref="AE361:AF361"/>
    <mergeCell ref="AG361:AI361"/>
    <mergeCell ref="AJ361:AK361"/>
    <mergeCell ref="AL362:AO362"/>
    <mergeCell ref="AP362:AU362"/>
    <mergeCell ref="AV362:AW362"/>
    <mergeCell ref="C362:E362"/>
    <mergeCell ref="F362:H362"/>
    <mergeCell ref="I362:R362"/>
    <mergeCell ref="S362:AD362"/>
    <mergeCell ref="AE362:AF362"/>
    <mergeCell ref="AG362:AI362"/>
    <mergeCell ref="AJ362:AK362"/>
    <mergeCell ref="AL363:AO363"/>
    <mergeCell ref="AP363:AU363"/>
    <mergeCell ref="AV363:AW363"/>
    <mergeCell ref="C363:E363"/>
    <mergeCell ref="F363:H363"/>
    <mergeCell ref="I363:R363"/>
    <mergeCell ref="S363:AD363"/>
    <mergeCell ref="AE363:AF363"/>
    <mergeCell ref="AG363:AI363"/>
    <mergeCell ref="AJ363:AK363"/>
    <mergeCell ref="AL364:AO364"/>
    <mergeCell ref="AP364:AU364"/>
    <mergeCell ref="AV364:AW364"/>
    <mergeCell ref="C364:E364"/>
    <mergeCell ref="F364:H364"/>
    <mergeCell ref="I364:R364"/>
    <mergeCell ref="S364:AD364"/>
    <mergeCell ref="AE364:AF364"/>
    <mergeCell ref="AG364:AI364"/>
    <mergeCell ref="AJ364:AK364"/>
    <mergeCell ref="AL365:AO365"/>
    <mergeCell ref="AP365:AU365"/>
    <mergeCell ref="AV365:AW365"/>
    <mergeCell ref="C365:E365"/>
    <mergeCell ref="F365:H365"/>
    <mergeCell ref="I365:R365"/>
    <mergeCell ref="S365:AD365"/>
    <mergeCell ref="AE365:AF365"/>
    <mergeCell ref="AG365:AI365"/>
    <mergeCell ref="AJ365:AK365"/>
    <mergeCell ref="AL366:AO366"/>
    <mergeCell ref="AP366:AU366"/>
    <mergeCell ref="AV366:AW366"/>
    <mergeCell ref="C366:E366"/>
    <mergeCell ref="F366:H366"/>
    <mergeCell ref="I366:R366"/>
    <mergeCell ref="S366:AD366"/>
    <mergeCell ref="AE366:AF366"/>
    <mergeCell ref="AG366:AI366"/>
    <mergeCell ref="AJ366:AK366"/>
    <mergeCell ref="AL367:AO367"/>
    <mergeCell ref="AP367:AU367"/>
    <mergeCell ref="AV367:AW367"/>
    <mergeCell ref="C367:E367"/>
    <mergeCell ref="F367:H367"/>
    <mergeCell ref="I367:R367"/>
    <mergeCell ref="S367:AD367"/>
    <mergeCell ref="AE367:AF367"/>
    <mergeCell ref="AG367:AI367"/>
    <mergeCell ref="AJ367:AK367"/>
    <mergeCell ref="AL368:AO368"/>
    <mergeCell ref="AP368:AU368"/>
    <mergeCell ref="AV368:AW368"/>
    <mergeCell ref="C368:E368"/>
    <mergeCell ref="F368:H368"/>
    <mergeCell ref="I368:R368"/>
    <mergeCell ref="S368:AD368"/>
    <mergeCell ref="AE368:AF368"/>
    <mergeCell ref="AG368:AI368"/>
    <mergeCell ref="AJ368:AK368"/>
    <mergeCell ref="AL369:AO369"/>
    <mergeCell ref="AP369:AU369"/>
    <mergeCell ref="AV369:AW369"/>
    <mergeCell ref="C369:E369"/>
    <mergeCell ref="F369:H369"/>
    <mergeCell ref="I369:R369"/>
    <mergeCell ref="S369:AD369"/>
    <mergeCell ref="AE369:AF369"/>
    <mergeCell ref="AG369:AI369"/>
    <mergeCell ref="AJ369:AK369"/>
    <mergeCell ref="AL370:AO370"/>
    <mergeCell ref="AP370:AU370"/>
    <mergeCell ref="AV370:AW370"/>
    <mergeCell ref="C370:E370"/>
    <mergeCell ref="F370:H370"/>
    <mergeCell ref="I370:R370"/>
    <mergeCell ref="S370:AD370"/>
    <mergeCell ref="AE370:AF370"/>
    <mergeCell ref="AG370:AI370"/>
    <mergeCell ref="AJ370:AK370"/>
    <mergeCell ref="AL371:AO371"/>
    <mergeCell ref="AP371:AU371"/>
    <mergeCell ref="AV371:AW371"/>
    <mergeCell ref="C371:E371"/>
    <mergeCell ref="F371:H371"/>
    <mergeCell ref="I371:R371"/>
    <mergeCell ref="S371:AD371"/>
    <mergeCell ref="AE371:AF371"/>
    <mergeCell ref="AG371:AI371"/>
    <mergeCell ref="AJ371:AK371"/>
    <mergeCell ref="AL372:AO372"/>
    <mergeCell ref="AP372:AU372"/>
    <mergeCell ref="AV372:AW372"/>
    <mergeCell ref="C372:E372"/>
    <mergeCell ref="F372:H372"/>
    <mergeCell ref="I372:R372"/>
    <mergeCell ref="S372:AD372"/>
    <mergeCell ref="AE372:AF372"/>
    <mergeCell ref="AG372:AI372"/>
    <mergeCell ref="AJ372:AK372"/>
    <mergeCell ref="AL373:AO373"/>
    <mergeCell ref="AP373:AU373"/>
    <mergeCell ref="AV373:AW373"/>
    <mergeCell ref="C373:E373"/>
    <mergeCell ref="F373:H373"/>
    <mergeCell ref="I373:R373"/>
    <mergeCell ref="S373:AD373"/>
    <mergeCell ref="AE373:AF373"/>
    <mergeCell ref="AG373:AI373"/>
    <mergeCell ref="AJ373:AK373"/>
    <mergeCell ref="AL374:AO374"/>
    <mergeCell ref="AP374:AU374"/>
    <mergeCell ref="AV374:AW374"/>
    <mergeCell ref="C374:E374"/>
    <mergeCell ref="F374:H374"/>
    <mergeCell ref="I374:R374"/>
    <mergeCell ref="S374:AD374"/>
    <mergeCell ref="AE374:AF374"/>
    <mergeCell ref="AG374:AI374"/>
    <mergeCell ref="AJ374:AK374"/>
    <mergeCell ref="AL375:AO375"/>
    <mergeCell ref="AP375:AU375"/>
    <mergeCell ref="AV375:AW375"/>
    <mergeCell ref="C375:E375"/>
    <mergeCell ref="F375:H375"/>
    <mergeCell ref="I375:R375"/>
    <mergeCell ref="S375:AD375"/>
    <mergeCell ref="AE375:AF375"/>
    <mergeCell ref="AG375:AI375"/>
    <mergeCell ref="AJ375:AK375"/>
    <mergeCell ref="AL376:AO376"/>
    <mergeCell ref="AP376:AU376"/>
    <mergeCell ref="AV376:AW376"/>
    <mergeCell ref="C376:E376"/>
    <mergeCell ref="F376:H376"/>
    <mergeCell ref="I376:R376"/>
    <mergeCell ref="S376:AD376"/>
    <mergeCell ref="AE376:AF376"/>
    <mergeCell ref="AG376:AI376"/>
    <mergeCell ref="AJ376:AK376"/>
    <mergeCell ref="AL377:AO377"/>
    <mergeCell ref="AP377:AU377"/>
    <mergeCell ref="AV377:AW377"/>
    <mergeCell ref="C377:E377"/>
    <mergeCell ref="F377:H377"/>
    <mergeCell ref="I377:R377"/>
    <mergeCell ref="S377:AD377"/>
    <mergeCell ref="AE377:AF377"/>
    <mergeCell ref="AG377:AI377"/>
    <mergeCell ref="AJ377:AK377"/>
    <mergeCell ref="AL378:AO378"/>
    <mergeCell ref="AP378:AU378"/>
    <mergeCell ref="AV378:AW378"/>
    <mergeCell ref="C378:E378"/>
    <mergeCell ref="F378:H378"/>
    <mergeCell ref="I378:R378"/>
    <mergeCell ref="S378:AD378"/>
    <mergeCell ref="AE378:AF378"/>
    <mergeCell ref="AG378:AI378"/>
    <mergeCell ref="AJ378:AK378"/>
    <mergeCell ref="AL379:AO379"/>
    <mergeCell ref="AP379:AU379"/>
    <mergeCell ref="AV379:AW379"/>
    <mergeCell ref="C379:E379"/>
    <mergeCell ref="F379:H379"/>
    <mergeCell ref="I379:R379"/>
    <mergeCell ref="S379:AD379"/>
    <mergeCell ref="AE379:AF379"/>
    <mergeCell ref="AG379:AI379"/>
    <mergeCell ref="AJ379:AK379"/>
    <mergeCell ref="AL380:AO380"/>
    <mergeCell ref="AP380:AU380"/>
    <mergeCell ref="AV380:AW380"/>
    <mergeCell ref="C380:E380"/>
    <mergeCell ref="F380:H380"/>
    <mergeCell ref="I380:R380"/>
    <mergeCell ref="S380:AD380"/>
    <mergeCell ref="AE380:AF380"/>
    <mergeCell ref="AG380:AI380"/>
    <mergeCell ref="AJ380:AK380"/>
    <mergeCell ref="AL381:AO381"/>
    <mergeCell ref="AP381:AU381"/>
    <mergeCell ref="AV381:AW381"/>
    <mergeCell ref="C381:E381"/>
    <mergeCell ref="F381:H381"/>
    <mergeCell ref="I381:R381"/>
    <mergeCell ref="S381:AD381"/>
    <mergeCell ref="AE381:AF381"/>
    <mergeCell ref="AG381:AI381"/>
    <mergeCell ref="AJ381:AK381"/>
    <mergeCell ref="AL382:AO382"/>
    <mergeCell ref="AP382:AU382"/>
    <mergeCell ref="AV382:AW382"/>
    <mergeCell ref="C382:E382"/>
    <mergeCell ref="F382:H382"/>
    <mergeCell ref="I382:R382"/>
    <mergeCell ref="S382:AD382"/>
    <mergeCell ref="AE382:AF382"/>
    <mergeCell ref="AG382:AI382"/>
    <mergeCell ref="AJ382:AK382"/>
    <mergeCell ref="AL383:AO383"/>
    <mergeCell ref="AP383:AU383"/>
    <mergeCell ref="AV383:AW383"/>
    <mergeCell ref="C383:E383"/>
    <mergeCell ref="F383:H383"/>
    <mergeCell ref="I383:R383"/>
    <mergeCell ref="S383:AD383"/>
    <mergeCell ref="AE383:AF383"/>
    <mergeCell ref="AG383:AI383"/>
    <mergeCell ref="AJ383:AK383"/>
    <mergeCell ref="AL384:AO384"/>
    <mergeCell ref="AP384:AU384"/>
    <mergeCell ref="AV384:AW384"/>
    <mergeCell ref="C384:E384"/>
    <mergeCell ref="F384:H384"/>
    <mergeCell ref="I384:R384"/>
    <mergeCell ref="S384:AD384"/>
    <mergeCell ref="AE384:AF384"/>
    <mergeCell ref="AG384:AI384"/>
    <mergeCell ref="AJ384:AK384"/>
    <mergeCell ref="AL385:AO385"/>
    <mergeCell ref="AP385:AU385"/>
    <mergeCell ref="AV385:AW385"/>
    <mergeCell ref="C385:E385"/>
    <mergeCell ref="F385:H385"/>
    <mergeCell ref="I385:R385"/>
    <mergeCell ref="S385:AD385"/>
    <mergeCell ref="AE385:AF385"/>
    <mergeCell ref="AG385:AI385"/>
    <mergeCell ref="AJ385:AK385"/>
    <mergeCell ref="AL386:AO386"/>
    <mergeCell ref="AP386:AU386"/>
    <mergeCell ref="AV386:AW386"/>
    <mergeCell ref="C386:E386"/>
    <mergeCell ref="F386:H386"/>
    <mergeCell ref="I386:R386"/>
    <mergeCell ref="S386:AD386"/>
    <mergeCell ref="AE386:AF386"/>
    <mergeCell ref="AG386:AI386"/>
    <mergeCell ref="AJ386:AK386"/>
    <mergeCell ref="AL387:AO387"/>
    <mergeCell ref="AP387:AU387"/>
    <mergeCell ref="AV387:AW387"/>
    <mergeCell ref="C387:E387"/>
    <mergeCell ref="F387:H387"/>
    <mergeCell ref="I387:R387"/>
    <mergeCell ref="S387:AD387"/>
    <mergeCell ref="AE387:AF387"/>
    <mergeCell ref="AG387:AI387"/>
    <mergeCell ref="AJ387:AK387"/>
    <mergeCell ref="AL388:AO388"/>
    <mergeCell ref="AP388:AU388"/>
    <mergeCell ref="AV388:AW388"/>
    <mergeCell ref="C388:E388"/>
    <mergeCell ref="F388:H388"/>
    <mergeCell ref="I388:R388"/>
    <mergeCell ref="S388:AD388"/>
    <mergeCell ref="AE388:AF388"/>
    <mergeCell ref="AG388:AI388"/>
    <mergeCell ref="AJ388:AK388"/>
    <mergeCell ref="AL389:AO389"/>
    <mergeCell ref="AP389:AU389"/>
    <mergeCell ref="AV389:AW389"/>
    <mergeCell ref="C389:E389"/>
    <mergeCell ref="F389:H389"/>
    <mergeCell ref="I389:R389"/>
    <mergeCell ref="S389:AD389"/>
    <mergeCell ref="AE389:AF389"/>
    <mergeCell ref="AG389:AI389"/>
    <mergeCell ref="AJ389:AK389"/>
    <mergeCell ref="AL390:AO390"/>
    <mergeCell ref="AP390:AU390"/>
    <mergeCell ref="AV390:AW390"/>
    <mergeCell ref="C390:E390"/>
    <mergeCell ref="F390:H390"/>
    <mergeCell ref="I390:R390"/>
    <mergeCell ref="S390:AD390"/>
    <mergeCell ref="AE390:AF390"/>
    <mergeCell ref="AG390:AI390"/>
    <mergeCell ref="AJ390:AK390"/>
    <mergeCell ref="AL391:AO391"/>
    <mergeCell ref="AP391:AU391"/>
    <mergeCell ref="AV391:AW391"/>
    <mergeCell ref="C391:E391"/>
    <mergeCell ref="F391:H391"/>
    <mergeCell ref="I391:R391"/>
    <mergeCell ref="S391:AD391"/>
    <mergeCell ref="AE391:AF391"/>
    <mergeCell ref="AG391:AI391"/>
    <mergeCell ref="AJ391:AK391"/>
    <mergeCell ref="AL392:AO392"/>
    <mergeCell ref="AP392:AU392"/>
    <mergeCell ref="AV392:AW392"/>
    <mergeCell ref="C392:E392"/>
    <mergeCell ref="F392:H392"/>
    <mergeCell ref="I392:R392"/>
    <mergeCell ref="S392:AD392"/>
    <mergeCell ref="AE392:AF392"/>
    <mergeCell ref="AG392:AI392"/>
    <mergeCell ref="AJ392:AK392"/>
    <mergeCell ref="AL393:AO393"/>
    <mergeCell ref="AP393:AU393"/>
    <mergeCell ref="AV393:AW393"/>
    <mergeCell ref="C393:E393"/>
    <mergeCell ref="F393:H393"/>
    <mergeCell ref="I393:R393"/>
    <mergeCell ref="S393:AD393"/>
    <mergeCell ref="AE393:AF393"/>
    <mergeCell ref="AG393:AI393"/>
    <mergeCell ref="AJ393:AK393"/>
    <mergeCell ref="AL394:AO394"/>
    <mergeCell ref="AP394:AU394"/>
    <mergeCell ref="AV394:AW394"/>
    <mergeCell ref="C394:E394"/>
    <mergeCell ref="F394:H394"/>
    <mergeCell ref="I394:R394"/>
    <mergeCell ref="S394:AD394"/>
    <mergeCell ref="AE394:AF394"/>
    <mergeCell ref="AG394:AI394"/>
    <mergeCell ref="AJ394:AK394"/>
    <mergeCell ref="AL395:AO395"/>
    <mergeCell ref="AP395:AU395"/>
    <mergeCell ref="AV395:AW395"/>
    <mergeCell ref="C395:E395"/>
    <mergeCell ref="F395:H395"/>
    <mergeCell ref="I395:R395"/>
    <mergeCell ref="S395:AD395"/>
    <mergeCell ref="AE395:AF395"/>
    <mergeCell ref="AG395:AI395"/>
    <mergeCell ref="AJ395:AK395"/>
    <mergeCell ref="AL396:AO396"/>
    <mergeCell ref="AP396:AU396"/>
    <mergeCell ref="AV396:AW396"/>
    <mergeCell ref="C396:E396"/>
    <mergeCell ref="F396:H396"/>
    <mergeCell ref="I396:R396"/>
    <mergeCell ref="S396:AD396"/>
    <mergeCell ref="AE396:AF396"/>
    <mergeCell ref="AG396:AI396"/>
    <mergeCell ref="AJ396:AK396"/>
    <mergeCell ref="AL397:AO397"/>
    <mergeCell ref="AP397:AU397"/>
    <mergeCell ref="AV397:AW397"/>
    <mergeCell ref="C397:E397"/>
    <mergeCell ref="F397:H397"/>
    <mergeCell ref="I397:R397"/>
    <mergeCell ref="S397:AD397"/>
    <mergeCell ref="AE397:AF397"/>
    <mergeCell ref="AG397:AI397"/>
    <mergeCell ref="AJ397:AK397"/>
    <mergeCell ref="AL398:AO398"/>
    <mergeCell ref="AP398:AU398"/>
    <mergeCell ref="AV398:AW398"/>
    <mergeCell ref="C398:E398"/>
    <mergeCell ref="F398:H398"/>
    <mergeCell ref="I398:R398"/>
    <mergeCell ref="S398:AD398"/>
    <mergeCell ref="AE398:AF398"/>
    <mergeCell ref="AG398:AI398"/>
    <mergeCell ref="AJ398:AK398"/>
    <mergeCell ref="AL399:AO399"/>
    <mergeCell ref="AP399:AU399"/>
    <mergeCell ref="AV399:AW399"/>
    <mergeCell ref="C399:E399"/>
    <mergeCell ref="F399:H399"/>
    <mergeCell ref="I399:R399"/>
    <mergeCell ref="S399:AD399"/>
    <mergeCell ref="AE399:AF399"/>
    <mergeCell ref="AG399:AI399"/>
    <mergeCell ref="AJ399:AK399"/>
    <mergeCell ref="AL400:AO400"/>
    <mergeCell ref="AP400:AU400"/>
    <mergeCell ref="AV400:AW400"/>
    <mergeCell ref="C400:E400"/>
    <mergeCell ref="F400:H400"/>
    <mergeCell ref="I400:R400"/>
    <mergeCell ref="S400:AD400"/>
    <mergeCell ref="AE400:AF400"/>
    <mergeCell ref="AG400:AI400"/>
    <mergeCell ref="AJ400:AK400"/>
    <mergeCell ref="AL401:AO401"/>
    <mergeCell ref="AP401:AU401"/>
    <mergeCell ref="AV401:AW401"/>
    <mergeCell ref="C401:E401"/>
    <mergeCell ref="F401:H401"/>
    <mergeCell ref="I401:R401"/>
    <mergeCell ref="S401:AD401"/>
    <mergeCell ref="AE401:AF401"/>
    <mergeCell ref="AG401:AI401"/>
    <mergeCell ref="AJ401:AK401"/>
    <mergeCell ref="AL402:AO402"/>
    <mergeCell ref="AP402:AU402"/>
    <mergeCell ref="AV402:AW402"/>
    <mergeCell ref="C402:E402"/>
    <mergeCell ref="F402:H402"/>
    <mergeCell ref="I402:R402"/>
    <mergeCell ref="S402:AD402"/>
    <mergeCell ref="AE402:AF402"/>
    <mergeCell ref="AG402:AI402"/>
    <mergeCell ref="AJ402:AK402"/>
    <mergeCell ref="AL403:AO403"/>
    <mergeCell ref="AP403:AU403"/>
    <mergeCell ref="AV403:AW403"/>
    <mergeCell ref="C403:E403"/>
    <mergeCell ref="F403:H403"/>
    <mergeCell ref="I403:R403"/>
    <mergeCell ref="S403:AD403"/>
    <mergeCell ref="AE403:AF403"/>
    <mergeCell ref="AG403:AI403"/>
    <mergeCell ref="AJ403:AK403"/>
    <mergeCell ref="AL404:AO404"/>
    <mergeCell ref="AP404:AU404"/>
    <mergeCell ref="AV404:AW404"/>
    <mergeCell ref="C404:E404"/>
    <mergeCell ref="F404:H404"/>
    <mergeCell ref="I404:R404"/>
    <mergeCell ref="S404:AD404"/>
    <mergeCell ref="AE404:AF404"/>
    <mergeCell ref="AG404:AI404"/>
    <mergeCell ref="AJ404:AK404"/>
    <mergeCell ref="AL405:AO405"/>
    <mergeCell ref="AP405:AU405"/>
    <mergeCell ref="AV405:AW405"/>
    <mergeCell ref="C405:E405"/>
    <mergeCell ref="F405:H405"/>
    <mergeCell ref="I405:R405"/>
    <mergeCell ref="S405:AD405"/>
    <mergeCell ref="AE405:AF405"/>
    <mergeCell ref="AG405:AI405"/>
    <mergeCell ref="AJ405:AK405"/>
    <mergeCell ref="AL406:AO406"/>
    <mergeCell ref="AP406:AU406"/>
    <mergeCell ref="AV406:AW406"/>
    <mergeCell ref="C406:E406"/>
    <mergeCell ref="F406:H406"/>
    <mergeCell ref="I406:R406"/>
    <mergeCell ref="S406:AD406"/>
    <mergeCell ref="AE406:AF406"/>
    <mergeCell ref="AG406:AI406"/>
    <mergeCell ref="AJ406:AK406"/>
    <mergeCell ref="AL407:AO407"/>
    <mergeCell ref="AP407:AU407"/>
    <mergeCell ref="AV407:AW407"/>
    <mergeCell ref="C407:E407"/>
    <mergeCell ref="F407:H407"/>
    <mergeCell ref="I407:R407"/>
    <mergeCell ref="S407:AD407"/>
    <mergeCell ref="AE407:AF407"/>
    <mergeCell ref="AG407:AI407"/>
    <mergeCell ref="AJ407:AK407"/>
    <mergeCell ref="AL408:AO408"/>
    <mergeCell ref="AP408:AU408"/>
    <mergeCell ref="AV408:AW408"/>
    <mergeCell ref="C408:E408"/>
    <mergeCell ref="F408:H408"/>
    <mergeCell ref="I408:R408"/>
    <mergeCell ref="S408:AD408"/>
    <mergeCell ref="AE408:AF408"/>
    <mergeCell ref="AG408:AI408"/>
    <mergeCell ref="AJ408:AK408"/>
    <mergeCell ref="AL409:AO409"/>
    <mergeCell ref="AP409:AU409"/>
    <mergeCell ref="AV409:AW409"/>
    <mergeCell ref="C409:E409"/>
    <mergeCell ref="F409:H409"/>
    <mergeCell ref="I409:R409"/>
    <mergeCell ref="S409:AD409"/>
    <mergeCell ref="AE409:AF409"/>
    <mergeCell ref="AG409:AI409"/>
    <mergeCell ref="AJ409:AK409"/>
    <mergeCell ref="AL410:AO410"/>
    <mergeCell ref="AP410:AU410"/>
    <mergeCell ref="AV410:AW410"/>
    <mergeCell ref="C410:E410"/>
    <mergeCell ref="F410:H410"/>
    <mergeCell ref="I410:R410"/>
    <mergeCell ref="S410:AD410"/>
    <mergeCell ref="AE410:AF410"/>
    <mergeCell ref="AG410:AI410"/>
    <mergeCell ref="AJ410:AK410"/>
    <mergeCell ref="AL411:AO411"/>
    <mergeCell ref="AP411:AU411"/>
    <mergeCell ref="AV411:AW411"/>
    <mergeCell ref="C411:E411"/>
    <mergeCell ref="F411:H411"/>
    <mergeCell ref="I411:R411"/>
    <mergeCell ref="S411:AD411"/>
    <mergeCell ref="AE411:AF411"/>
    <mergeCell ref="AG411:AI411"/>
    <mergeCell ref="AJ411:AK411"/>
    <mergeCell ref="AL412:AO412"/>
    <mergeCell ref="AP412:AU412"/>
    <mergeCell ref="AV412:AW412"/>
    <mergeCell ref="C412:E412"/>
    <mergeCell ref="F412:H412"/>
    <mergeCell ref="I412:R412"/>
    <mergeCell ref="S412:AD412"/>
    <mergeCell ref="AE412:AF412"/>
    <mergeCell ref="AG412:AI412"/>
    <mergeCell ref="AJ412:AK412"/>
    <mergeCell ref="AL413:AO413"/>
    <mergeCell ref="AP413:AU413"/>
    <mergeCell ref="AV413:AW413"/>
    <mergeCell ref="C413:E413"/>
    <mergeCell ref="F413:H413"/>
    <mergeCell ref="I413:R413"/>
    <mergeCell ref="S413:AD413"/>
    <mergeCell ref="AE413:AF413"/>
    <mergeCell ref="AG413:AI413"/>
    <mergeCell ref="AJ413:AK413"/>
    <mergeCell ref="AL414:AO414"/>
    <mergeCell ref="AP414:AU414"/>
    <mergeCell ref="AV414:AW414"/>
    <mergeCell ref="C414:E414"/>
    <mergeCell ref="F414:H414"/>
    <mergeCell ref="I414:R414"/>
    <mergeCell ref="S414:AD414"/>
    <mergeCell ref="AE414:AF414"/>
    <mergeCell ref="AG414:AI414"/>
    <mergeCell ref="AJ414:AK414"/>
    <mergeCell ref="AL415:AO415"/>
    <mergeCell ref="AP415:AU415"/>
    <mergeCell ref="AV415:AW415"/>
    <mergeCell ref="C415:E415"/>
    <mergeCell ref="F415:H415"/>
    <mergeCell ref="I415:R415"/>
    <mergeCell ref="S415:AD415"/>
    <mergeCell ref="AE415:AF415"/>
    <mergeCell ref="AG415:AI415"/>
    <mergeCell ref="AJ415:AK415"/>
    <mergeCell ref="AL416:AO416"/>
    <mergeCell ref="AP416:AU416"/>
    <mergeCell ref="AV416:AW416"/>
    <mergeCell ref="C416:E416"/>
    <mergeCell ref="F416:H416"/>
    <mergeCell ref="I416:R416"/>
    <mergeCell ref="S416:AD416"/>
    <mergeCell ref="AE416:AF416"/>
    <mergeCell ref="AG416:AI416"/>
    <mergeCell ref="AJ416:AK416"/>
    <mergeCell ref="AL417:AO417"/>
    <mergeCell ref="AP417:AU417"/>
    <mergeCell ref="AV417:AW417"/>
    <mergeCell ref="C417:E417"/>
    <mergeCell ref="F417:H417"/>
    <mergeCell ref="I417:R417"/>
    <mergeCell ref="S417:AD417"/>
    <mergeCell ref="AE417:AF417"/>
    <mergeCell ref="AG417:AI417"/>
    <mergeCell ref="AJ417:AK417"/>
    <mergeCell ref="AL418:AO418"/>
    <mergeCell ref="AP418:AU418"/>
    <mergeCell ref="AV418:AW418"/>
    <mergeCell ref="C418:E418"/>
    <mergeCell ref="F418:H418"/>
    <mergeCell ref="I418:R418"/>
    <mergeCell ref="S418:AD418"/>
    <mergeCell ref="AE418:AF418"/>
    <mergeCell ref="AG418:AI418"/>
    <mergeCell ref="AJ418:AK418"/>
    <mergeCell ref="AL419:AO419"/>
    <mergeCell ref="AP419:AU419"/>
    <mergeCell ref="AV419:AW419"/>
    <mergeCell ref="C419:E419"/>
    <mergeCell ref="F419:H419"/>
    <mergeCell ref="I419:R419"/>
    <mergeCell ref="S419:AD419"/>
    <mergeCell ref="AE419:AF419"/>
    <mergeCell ref="AG419:AI419"/>
    <mergeCell ref="AJ419:AK419"/>
    <mergeCell ref="AL420:AO420"/>
    <mergeCell ref="AP420:AU420"/>
    <mergeCell ref="AV420:AW420"/>
    <mergeCell ref="C420:E420"/>
    <mergeCell ref="F420:H420"/>
    <mergeCell ref="I420:R420"/>
    <mergeCell ref="S420:AD420"/>
    <mergeCell ref="AE420:AF420"/>
    <mergeCell ref="AG420:AI420"/>
    <mergeCell ref="AJ420:AK420"/>
    <mergeCell ref="AL421:AO421"/>
    <mergeCell ref="AP421:AU421"/>
    <mergeCell ref="AV421:AW421"/>
    <mergeCell ref="C421:E421"/>
    <mergeCell ref="F421:H421"/>
    <mergeCell ref="I421:R421"/>
    <mergeCell ref="S421:AD421"/>
    <mergeCell ref="AE421:AF421"/>
    <mergeCell ref="AG421:AI421"/>
    <mergeCell ref="AJ421:AK421"/>
    <mergeCell ref="AL422:AO422"/>
    <mergeCell ref="AP422:AU422"/>
    <mergeCell ref="AV422:AW422"/>
    <mergeCell ref="C422:E422"/>
    <mergeCell ref="F422:H422"/>
    <mergeCell ref="I422:R422"/>
    <mergeCell ref="S422:AD422"/>
    <mergeCell ref="AE422:AF422"/>
    <mergeCell ref="AG422:AI422"/>
    <mergeCell ref="AJ422:AK422"/>
    <mergeCell ref="AL423:AO423"/>
    <mergeCell ref="AP423:AU423"/>
    <mergeCell ref="AV423:AW423"/>
    <mergeCell ref="C423:E423"/>
    <mergeCell ref="F423:H423"/>
    <mergeCell ref="I423:R423"/>
    <mergeCell ref="S423:AD423"/>
    <mergeCell ref="AE423:AF423"/>
    <mergeCell ref="AG423:AI423"/>
    <mergeCell ref="AJ423:AK423"/>
    <mergeCell ref="AL424:AO424"/>
    <mergeCell ref="AP424:AU424"/>
    <mergeCell ref="AV424:AW424"/>
    <mergeCell ref="C424:E424"/>
    <mergeCell ref="F424:H424"/>
    <mergeCell ref="I424:R424"/>
    <mergeCell ref="S424:AD424"/>
    <mergeCell ref="AE424:AF424"/>
    <mergeCell ref="AG424:AI424"/>
    <mergeCell ref="AJ424:AK424"/>
    <mergeCell ref="AL425:AO425"/>
    <mergeCell ref="AP425:AU425"/>
    <mergeCell ref="AV425:AW425"/>
    <mergeCell ref="C425:E425"/>
    <mergeCell ref="F425:H425"/>
    <mergeCell ref="I425:R425"/>
    <mergeCell ref="S425:AD425"/>
    <mergeCell ref="AE425:AF425"/>
    <mergeCell ref="AG425:AI425"/>
    <mergeCell ref="AJ425:AK425"/>
    <mergeCell ref="AL426:AO426"/>
    <mergeCell ref="AP426:AU426"/>
    <mergeCell ref="AV426:AW426"/>
    <mergeCell ref="C426:E426"/>
    <mergeCell ref="F426:H426"/>
    <mergeCell ref="I426:R426"/>
    <mergeCell ref="S426:AD426"/>
    <mergeCell ref="AE426:AF426"/>
    <mergeCell ref="AG426:AI426"/>
    <mergeCell ref="AJ426:AK426"/>
    <mergeCell ref="AL427:AO427"/>
    <mergeCell ref="AP427:AU427"/>
    <mergeCell ref="AV427:AW427"/>
    <mergeCell ref="C427:E427"/>
    <mergeCell ref="F427:H427"/>
    <mergeCell ref="I427:R427"/>
    <mergeCell ref="S427:AD427"/>
    <mergeCell ref="AE427:AF427"/>
    <mergeCell ref="AG427:AI427"/>
    <mergeCell ref="AJ427:AK427"/>
    <mergeCell ref="AL428:AO428"/>
    <mergeCell ref="AP428:AU428"/>
    <mergeCell ref="AV428:AW428"/>
    <mergeCell ref="C428:E428"/>
    <mergeCell ref="F428:H428"/>
    <mergeCell ref="I428:R428"/>
    <mergeCell ref="S428:AD428"/>
    <mergeCell ref="AE428:AF428"/>
    <mergeCell ref="AG428:AI428"/>
    <mergeCell ref="AJ428:AK428"/>
    <mergeCell ref="AL429:AO429"/>
    <mergeCell ref="AP429:AU429"/>
    <mergeCell ref="AV429:AW429"/>
    <mergeCell ref="C429:E429"/>
    <mergeCell ref="F429:H429"/>
    <mergeCell ref="I429:R429"/>
    <mergeCell ref="S429:AD429"/>
    <mergeCell ref="AE429:AF429"/>
    <mergeCell ref="AG429:AI429"/>
    <mergeCell ref="AJ429:AK429"/>
    <mergeCell ref="AL430:AO430"/>
    <mergeCell ref="AP430:AU430"/>
    <mergeCell ref="AV430:AW430"/>
    <mergeCell ref="C430:E430"/>
    <mergeCell ref="F430:H430"/>
    <mergeCell ref="I430:R430"/>
    <mergeCell ref="S430:AD430"/>
    <mergeCell ref="AE430:AF430"/>
    <mergeCell ref="AG430:AI430"/>
    <mergeCell ref="AJ430:AK430"/>
    <mergeCell ref="AL431:AO431"/>
    <mergeCell ref="AP431:AU431"/>
    <mergeCell ref="AV431:AW431"/>
    <mergeCell ref="C431:E431"/>
    <mergeCell ref="F431:H431"/>
    <mergeCell ref="I431:R431"/>
    <mergeCell ref="S431:AD431"/>
    <mergeCell ref="AE431:AF431"/>
    <mergeCell ref="AG431:AI431"/>
    <mergeCell ref="AJ431:AK431"/>
    <mergeCell ref="AL432:AO432"/>
    <mergeCell ref="AP432:AU432"/>
    <mergeCell ref="AV432:AW432"/>
    <mergeCell ref="C432:E432"/>
    <mergeCell ref="F432:H432"/>
    <mergeCell ref="I432:R432"/>
    <mergeCell ref="S432:AD432"/>
    <mergeCell ref="AE432:AF432"/>
    <mergeCell ref="AG432:AI432"/>
    <mergeCell ref="AJ432:AK432"/>
    <mergeCell ref="AL433:AO433"/>
    <mergeCell ref="AP433:AU433"/>
    <mergeCell ref="AV433:AW433"/>
    <mergeCell ref="C433:E433"/>
    <mergeCell ref="F433:H433"/>
    <mergeCell ref="I433:R433"/>
    <mergeCell ref="S433:AD433"/>
    <mergeCell ref="AE433:AF433"/>
    <mergeCell ref="AG433:AI433"/>
    <mergeCell ref="AJ433:AK433"/>
    <mergeCell ref="AL434:AO434"/>
    <mergeCell ref="AP434:AU434"/>
    <mergeCell ref="AV434:AW434"/>
    <mergeCell ref="C434:E434"/>
    <mergeCell ref="F434:H434"/>
    <mergeCell ref="I434:R434"/>
    <mergeCell ref="S434:AD434"/>
    <mergeCell ref="AE434:AF434"/>
    <mergeCell ref="AG434:AI434"/>
    <mergeCell ref="AJ434:AK434"/>
    <mergeCell ref="AL435:AO435"/>
    <mergeCell ref="AP435:AU435"/>
    <mergeCell ref="AV435:AW435"/>
    <mergeCell ref="C435:E435"/>
    <mergeCell ref="F435:H435"/>
    <mergeCell ref="I435:R435"/>
    <mergeCell ref="S435:AD435"/>
    <mergeCell ref="AE435:AF435"/>
    <mergeCell ref="AG435:AI435"/>
    <mergeCell ref="AJ435:AK435"/>
    <mergeCell ref="AL436:AO436"/>
    <mergeCell ref="AP436:AU436"/>
    <mergeCell ref="AV436:AW436"/>
    <mergeCell ref="C436:E436"/>
    <mergeCell ref="F436:H436"/>
    <mergeCell ref="I436:R436"/>
    <mergeCell ref="S436:AD436"/>
    <mergeCell ref="AE436:AF436"/>
    <mergeCell ref="AG436:AI436"/>
    <mergeCell ref="AJ436:AK436"/>
    <mergeCell ref="AL437:AO437"/>
    <mergeCell ref="AP437:AU437"/>
    <mergeCell ref="AV437:AW437"/>
    <mergeCell ref="C437:E437"/>
    <mergeCell ref="F437:H437"/>
    <mergeCell ref="I437:R437"/>
    <mergeCell ref="S437:AD437"/>
    <mergeCell ref="AE437:AF437"/>
    <mergeCell ref="AG437:AI437"/>
    <mergeCell ref="AJ437:AK437"/>
    <mergeCell ref="AL438:AO438"/>
    <mergeCell ref="AP438:AU438"/>
    <mergeCell ref="AV438:AW438"/>
    <mergeCell ref="C438:E438"/>
    <mergeCell ref="F438:H438"/>
    <mergeCell ref="I438:R438"/>
    <mergeCell ref="S438:AD438"/>
    <mergeCell ref="AE438:AF438"/>
    <mergeCell ref="AG438:AI438"/>
    <mergeCell ref="AJ438:AK438"/>
    <mergeCell ref="AL439:AO439"/>
    <mergeCell ref="AP439:AU439"/>
    <mergeCell ref="AV439:AW439"/>
    <mergeCell ref="C439:E439"/>
    <mergeCell ref="F439:H439"/>
    <mergeCell ref="I439:R439"/>
    <mergeCell ref="S439:AD439"/>
    <mergeCell ref="AE439:AF439"/>
    <mergeCell ref="AG439:AI439"/>
    <mergeCell ref="AJ439:AK439"/>
    <mergeCell ref="AL440:AO440"/>
    <mergeCell ref="AP440:AU440"/>
    <mergeCell ref="AV440:AW440"/>
    <mergeCell ref="C440:E440"/>
    <mergeCell ref="F440:H440"/>
    <mergeCell ref="I440:R440"/>
    <mergeCell ref="S440:AD440"/>
    <mergeCell ref="AE440:AF440"/>
    <mergeCell ref="AG440:AI440"/>
    <mergeCell ref="AJ440:AK440"/>
    <mergeCell ref="AL441:AO441"/>
    <mergeCell ref="AP441:AU441"/>
    <mergeCell ref="AV441:AW441"/>
    <mergeCell ref="C441:E441"/>
    <mergeCell ref="F441:H441"/>
    <mergeCell ref="I441:R441"/>
    <mergeCell ref="S441:AD441"/>
    <mergeCell ref="AE441:AF441"/>
    <mergeCell ref="AG441:AI441"/>
    <mergeCell ref="AJ441:AK441"/>
    <mergeCell ref="AL442:AO442"/>
    <mergeCell ref="AP442:AU442"/>
    <mergeCell ref="AV442:AW442"/>
    <mergeCell ref="C442:E442"/>
    <mergeCell ref="F442:H442"/>
    <mergeCell ref="I442:R442"/>
    <mergeCell ref="S442:AD442"/>
    <mergeCell ref="AE442:AF442"/>
    <mergeCell ref="AG442:AI442"/>
    <mergeCell ref="AJ442:AK442"/>
    <mergeCell ref="AL443:AO443"/>
    <mergeCell ref="AP443:AU443"/>
    <mergeCell ref="AV443:AW443"/>
    <mergeCell ref="C443:E443"/>
    <mergeCell ref="F443:H443"/>
    <mergeCell ref="I443:R443"/>
    <mergeCell ref="S443:AD443"/>
    <mergeCell ref="AE443:AF443"/>
    <mergeCell ref="AG443:AI443"/>
    <mergeCell ref="AJ443:AK443"/>
    <mergeCell ref="AL444:AO444"/>
    <mergeCell ref="AP444:AU444"/>
    <mergeCell ref="AV444:AW444"/>
    <mergeCell ref="C444:E444"/>
    <mergeCell ref="F444:H444"/>
    <mergeCell ref="I444:R444"/>
    <mergeCell ref="S444:AD444"/>
    <mergeCell ref="AE444:AF444"/>
    <mergeCell ref="AG444:AI444"/>
    <mergeCell ref="AJ444:AK444"/>
    <mergeCell ref="AL445:AO445"/>
    <mergeCell ref="AP445:AU445"/>
    <mergeCell ref="AV445:AW445"/>
    <mergeCell ref="C445:E445"/>
    <mergeCell ref="F445:H445"/>
    <mergeCell ref="I445:R445"/>
    <mergeCell ref="S445:AD445"/>
    <mergeCell ref="AE445:AF445"/>
    <mergeCell ref="AG445:AI445"/>
    <mergeCell ref="AJ445:AK445"/>
    <mergeCell ref="AL446:AO446"/>
    <mergeCell ref="AP446:AU446"/>
    <mergeCell ref="AV446:AW446"/>
    <mergeCell ref="C446:E446"/>
    <mergeCell ref="F446:H446"/>
    <mergeCell ref="I446:R446"/>
    <mergeCell ref="S446:AD446"/>
    <mergeCell ref="AE446:AF446"/>
    <mergeCell ref="AG446:AI446"/>
    <mergeCell ref="AJ446:AK446"/>
    <mergeCell ref="AL447:AO447"/>
    <mergeCell ref="AP447:AU447"/>
    <mergeCell ref="AV447:AW447"/>
    <mergeCell ref="C447:E447"/>
    <mergeCell ref="F447:H447"/>
    <mergeCell ref="I447:R447"/>
    <mergeCell ref="S447:AD447"/>
    <mergeCell ref="AE447:AF447"/>
    <mergeCell ref="AG447:AI447"/>
    <mergeCell ref="AJ447:AK447"/>
    <mergeCell ref="AL448:AO448"/>
    <mergeCell ref="AP448:AU448"/>
    <mergeCell ref="AV448:AW448"/>
    <mergeCell ref="C448:E448"/>
    <mergeCell ref="F448:H448"/>
    <mergeCell ref="I448:R448"/>
    <mergeCell ref="S448:AD448"/>
    <mergeCell ref="AE448:AF448"/>
    <mergeCell ref="AG448:AI448"/>
    <mergeCell ref="AJ448:AK448"/>
    <mergeCell ref="AL449:AO449"/>
    <mergeCell ref="AP449:AU449"/>
    <mergeCell ref="AV449:AW449"/>
    <mergeCell ref="C449:E449"/>
    <mergeCell ref="F449:H449"/>
    <mergeCell ref="I449:R449"/>
    <mergeCell ref="S449:AD449"/>
    <mergeCell ref="AE449:AF449"/>
    <mergeCell ref="AG449:AI449"/>
    <mergeCell ref="AJ449:AK449"/>
    <mergeCell ref="AL450:AO450"/>
    <mergeCell ref="AP450:AU450"/>
    <mergeCell ref="AV450:AW450"/>
    <mergeCell ref="C450:E450"/>
    <mergeCell ref="F450:H450"/>
    <mergeCell ref="I450:R450"/>
    <mergeCell ref="S450:AD450"/>
    <mergeCell ref="AE450:AF450"/>
    <mergeCell ref="AG450:AI450"/>
    <mergeCell ref="AJ450:AK450"/>
    <mergeCell ref="AL451:AO451"/>
    <mergeCell ref="AP451:AU451"/>
    <mergeCell ref="AV451:AW451"/>
    <mergeCell ref="C451:E451"/>
    <mergeCell ref="F451:H451"/>
    <mergeCell ref="I451:R451"/>
    <mergeCell ref="S451:AD451"/>
    <mergeCell ref="AE451:AF451"/>
    <mergeCell ref="AG451:AI451"/>
    <mergeCell ref="AJ451:AK451"/>
    <mergeCell ref="AL452:AO452"/>
    <mergeCell ref="AP452:AU452"/>
    <mergeCell ref="AV452:AW452"/>
    <mergeCell ref="C452:E452"/>
    <mergeCell ref="F452:H452"/>
    <mergeCell ref="I452:R452"/>
    <mergeCell ref="S452:AD452"/>
    <mergeCell ref="AE452:AF452"/>
    <mergeCell ref="AG452:AI452"/>
    <mergeCell ref="AJ452:AK452"/>
    <mergeCell ref="AL453:AO453"/>
    <mergeCell ref="AP453:AU453"/>
    <mergeCell ref="AV453:AW453"/>
    <mergeCell ref="C453:E453"/>
    <mergeCell ref="F453:H453"/>
    <mergeCell ref="I453:R453"/>
    <mergeCell ref="S453:AD453"/>
    <mergeCell ref="AE453:AF453"/>
    <mergeCell ref="AG453:AI453"/>
    <mergeCell ref="AJ453:AK453"/>
    <mergeCell ref="AL454:AO454"/>
    <mergeCell ref="AP454:AU454"/>
    <mergeCell ref="AV454:AW454"/>
    <mergeCell ref="C454:E454"/>
    <mergeCell ref="F454:H454"/>
    <mergeCell ref="I454:R454"/>
    <mergeCell ref="S454:AD454"/>
    <mergeCell ref="AE454:AF454"/>
    <mergeCell ref="AG454:AI454"/>
    <mergeCell ref="AJ454:AK454"/>
    <mergeCell ref="AL455:AO455"/>
    <mergeCell ref="AP455:AU455"/>
    <mergeCell ref="AV455:AW455"/>
    <mergeCell ref="C455:E455"/>
    <mergeCell ref="F455:H455"/>
    <mergeCell ref="I455:R455"/>
    <mergeCell ref="S455:AD455"/>
    <mergeCell ref="AE455:AF455"/>
    <mergeCell ref="AG455:AI455"/>
    <mergeCell ref="AJ455:AK455"/>
    <mergeCell ref="AL456:AO456"/>
    <mergeCell ref="AP456:AU456"/>
    <mergeCell ref="AV456:AW456"/>
    <mergeCell ref="C456:E456"/>
    <mergeCell ref="F456:H456"/>
    <mergeCell ref="I456:R456"/>
    <mergeCell ref="S456:AD456"/>
    <mergeCell ref="AE456:AF456"/>
    <mergeCell ref="AG456:AI456"/>
    <mergeCell ref="AJ456:AK456"/>
    <mergeCell ref="AL457:AO457"/>
    <mergeCell ref="AP457:AU457"/>
    <mergeCell ref="AV457:AW457"/>
    <mergeCell ref="C457:E457"/>
    <mergeCell ref="F457:H457"/>
    <mergeCell ref="I457:R457"/>
    <mergeCell ref="S457:AD457"/>
    <mergeCell ref="AE457:AF457"/>
    <mergeCell ref="AG457:AI457"/>
    <mergeCell ref="AJ457:AK457"/>
    <mergeCell ref="AL458:AO458"/>
    <mergeCell ref="AP458:AU458"/>
    <mergeCell ref="AV458:AW458"/>
    <mergeCell ref="C458:E458"/>
    <mergeCell ref="F458:H458"/>
    <mergeCell ref="I458:R458"/>
    <mergeCell ref="S458:AD458"/>
    <mergeCell ref="AE458:AF458"/>
    <mergeCell ref="AG458:AI458"/>
    <mergeCell ref="AJ458:AK458"/>
    <mergeCell ref="AL459:AO459"/>
    <mergeCell ref="AP459:AU459"/>
    <mergeCell ref="AV459:AW459"/>
    <mergeCell ref="C459:E459"/>
    <mergeCell ref="F459:H459"/>
    <mergeCell ref="I459:R459"/>
    <mergeCell ref="S459:AD459"/>
    <mergeCell ref="AE459:AF459"/>
    <mergeCell ref="AG459:AI459"/>
    <mergeCell ref="AJ459:AK459"/>
    <mergeCell ref="AL460:AO460"/>
    <mergeCell ref="AP460:AU460"/>
    <mergeCell ref="AV460:AW460"/>
    <mergeCell ref="C460:E460"/>
    <mergeCell ref="F460:H460"/>
    <mergeCell ref="I460:R460"/>
    <mergeCell ref="S460:AD460"/>
    <mergeCell ref="AE460:AF460"/>
    <mergeCell ref="AG460:AI460"/>
    <mergeCell ref="AJ460:AK460"/>
    <mergeCell ref="AL461:AO461"/>
    <mergeCell ref="AP461:AU461"/>
    <mergeCell ref="AV461:AW461"/>
    <mergeCell ref="C461:E461"/>
    <mergeCell ref="F461:H461"/>
    <mergeCell ref="I461:R461"/>
    <mergeCell ref="S461:AD461"/>
    <mergeCell ref="AE461:AF461"/>
    <mergeCell ref="AG461:AI461"/>
    <mergeCell ref="AJ461:AK461"/>
    <mergeCell ref="AL462:AO462"/>
    <mergeCell ref="AP462:AU462"/>
    <mergeCell ref="AV462:AW462"/>
    <mergeCell ref="C462:E462"/>
    <mergeCell ref="F462:H462"/>
    <mergeCell ref="I462:R462"/>
    <mergeCell ref="S462:AD462"/>
    <mergeCell ref="AE462:AF462"/>
    <mergeCell ref="AG462:AI462"/>
    <mergeCell ref="AJ462:AK462"/>
    <mergeCell ref="AL463:AO463"/>
    <mergeCell ref="AP463:AU463"/>
    <mergeCell ref="AV463:AW463"/>
    <mergeCell ref="C463:E463"/>
    <mergeCell ref="F463:H463"/>
    <mergeCell ref="I463:R463"/>
    <mergeCell ref="S463:AD463"/>
    <mergeCell ref="AE463:AF463"/>
    <mergeCell ref="AG463:AI463"/>
    <mergeCell ref="AJ463:AK463"/>
    <mergeCell ref="AL464:AO464"/>
    <mergeCell ref="AP464:AU464"/>
    <mergeCell ref="AV464:AW464"/>
    <mergeCell ref="C464:E464"/>
    <mergeCell ref="F464:H464"/>
    <mergeCell ref="I464:R464"/>
    <mergeCell ref="S464:AD464"/>
    <mergeCell ref="AE464:AF464"/>
    <mergeCell ref="AG464:AI464"/>
    <mergeCell ref="AJ464:AK464"/>
    <mergeCell ref="AL465:AO465"/>
    <mergeCell ref="AP465:AU465"/>
    <mergeCell ref="AV465:AW465"/>
    <mergeCell ref="C465:E465"/>
    <mergeCell ref="F465:H465"/>
    <mergeCell ref="I465:R465"/>
    <mergeCell ref="S465:AD465"/>
    <mergeCell ref="AE465:AF465"/>
    <mergeCell ref="AG465:AI465"/>
    <mergeCell ref="AJ465:AK465"/>
    <mergeCell ref="AL466:AO466"/>
    <mergeCell ref="AP466:AU466"/>
    <mergeCell ref="AV466:AW466"/>
    <mergeCell ref="C466:E466"/>
    <mergeCell ref="F466:H466"/>
    <mergeCell ref="I466:R466"/>
    <mergeCell ref="S466:AD466"/>
    <mergeCell ref="AE466:AF466"/>
    <mergeCell ref="AG466:AI466"/>
    <mergeCell ref="AJ466:AK466"/>
    <mergeCell ref="AL467:AO467"/>
    <mergeCell ref="AP467:AU467"/>
    <mergeCell ref="AV467:AW467"/>
    <mergeCell ref="C467:E467"/>
    <mergeCell ref="F467:H467"/>
    <mergeCell ref="I467:R467"/>
    <mergeCell ref="S467:AD467"/>
    <mergeCell ref="AE467:AF467"/>
    <mergeCell ref="AG467:AI467"/>
    <mergeCell ref="AJ467:AK467"/>
    <mergeCell ref="AL468:AO468"/>
    <mergeCell ref="AP468:AU468"/>
    <mergeCell ref="AV468:AW468"/>
    <mergeCell ref="C468:E468"/>
    <mergeCell ref="F468:H468"/>
    <mergeCell ref="I468:R468"/>
    <mergeCell ref="S468:AD468"/>
    <mergeCell ref="AE468:AF468"/>
    <mergeCell ref="AG468:AI468"/>
    <mergeCell ref="AJ468:AK468"/>
    <mergeCell ref="AL469:AO469"/>
    <mergeCell ref="AP469:AU469"/>
    <mergeCell ref="AV469:AW469"/>
    <mergeCell ref="C469:E469"/>
    <mergeCell ref="F469:H469"/>
    <mergeCell ref="I469:R469"/>
    <mergeCell ref="S469:AD469"/>
    <mergeCell ref="AE469:AF469"/>
    <mergeCell ref="AG469:AI469"/>
    <mergeCell ref="AJ469:AK469"/>
    <mergeCell ref="AL470:AO470"/>
    <mergeCell ref="AP470:AU470"/>
    <mergeCell ref="AV470:AW470"/>
    <mergeCell ref="C470:E470"/>
    <mergeCell ref="F470:H470"/>
    <mergeCell ref="I470:R470"/>
    <mergeCell ref="S470:AD470"/>
    <mergeCell ref="AE470:AF470"/>
    <mergeCell ref="AG470:AI470"/>
    <mergeCell ref="AJ470:AK470"/>
    <mergeCell ref="AL471:AO471"/>
    <mergeCell ref="AP471:AU471"/>
    <mergeCell ref="AV471:AW471"/>
    <mergeCell ref="C471:E471"/>
    <mergeCell ref="F471:H471"/>
    <mergeCell ref="I471:R471"/>
    <mergeCell ref="S471:AD471"/>
    <mergeCell ref="AE471:AF471"/>
    <mergeCell ref="AG471:AI471"/>
    <mergeCell ref="AJ471:AK471"/>
    <mergeCell ref="AL472:AO472"/>
    <mergeCell ref="AP472:AU472"/>
    <mergeCell ref="AV472:AW472"/>
    <mergeCell ref="C472:E472"/>
    <mergeCell ref="F472:H472"/>
    <mergeCell ref="I472:R472"/>
    <mergeCell ref="S472:AD472"/>
    <mergeCell ref="AE472:AF472"/>
    <mergeCell ref="AG472:AI472"/>
    <mergeCell ref="AJ472:AK472"/>
    <mergeCell ref="AL473:AO473"/>
    <mergeCell ref="AP473:AU473"/>
    <mergeCell ref="AV473:AW473"/>
    <mergeCell ref="C473:E473"/>
    <mergeCell ref="F473:H473"/>
    <mergeCell ref="I473:R473"/>
    <mergeCell ref="S473:AD473"/>
    <mergeCell ref="AE473:AF473"/>
    <mergeCell ref="AG473:AI473"/>
    <mergeCell ref="AJ473:AK473"/>
    <mergeCell ref="AL474:AO474"/>
    <mergeCell ref="AP474:AU474"/>
    <mergeCell ref="AV474:AW474"/>
    <mergeCell ref="C474:E474"/>
    <mergeCell ref="F474:H474"/>
    <mergeCell ref="I474:R474"/>
    <mergeCell ref="S474:AD474"/>
    <mergeCell ref="AE474:AF474"/>
    <mergeCell ref="AG474:AI474"/>
    <mergeCell ref="AJ474:AK474"/>
    <mergeCell ref="AL475:AO475"/>
    <mergeCell ref="AP475:AU475"/>
    <mergeCell ref="AV475:AW475"/>
    <mergeCell ref="C475:E475"/>
    <mergeCell ref="F475:H475"/>
    <mergeCell ref="I475:R475"/>
    <mergeCell ref="S475:AD475"/>
    <mergeCell ref="AE475:AF475"/>
    <mergeCell ref="AG475:AI475"/>
    <mergeCell ref="AJ475:AK475"/>
    <mergeCell ref="AL476:AO476"/>
    <mergeCell ref="AP476:AU476"/>
    <mergeCell ref="AV476:AW476"/>
    <mergeCell ref="C476:E476"/>
    <mergeCell ref="F476:H476"/>
    <mergeCell ref="I476:R476"/>
    <mergeCell ref="S476:AD476"/>
    <mergeCell ref="AE476:AF476"/>
    <mergeCell ref="AG476:AI476"/>
    <mergeCell ref="AJ476:AK476"/>
    <mergeCell ref="AL477:AO477"/>
    <mergeCell ref="AP477:AU477"/>
    <mergeCell ref="AV477:AW477"/>
    <mergeCell ref="C477:E477"/>
    <mergeCell ref="F477:H477"/>
    <mergeCell ref="I477:R477"/>
    <mergeCell ref="S477:AD477"/>
    <mergeCell ref="AE477:AF477"/>
    <mergeCell ref="AG477:AI477"/>
    <mergeCell ref="AJ477:AK477"/>
    <mergeCell ref="AL478:AO478"/>
    <mergeCell ref="AP478:AU478"/>
    <mergeCell ref="AV478:AW478"/>
    <mergeCell ref="C478:E478"/>
    <mergeCell ref="F478:H478"/>
    <mergeCell ref="I478:R478"/>
    <mergeCell ref="S478:AD478"/>
    <mergeCell ref="AE478:AF478"/>
    <mergeCell ref="AG478:AI478"/>
    <mergeCell ref="AJ478:AK478"/>
    <mergeCell ref="AL479:AO479"/>
    <mergeCell ref="AP479:AU479"/>
    <mergeCell ref="AV479:AW479"/>
    <mergeCell ref="C479:E479"/>
    <mergeCell ref="F479:H479"/>
    <mergeCell ref="I479:R479"/>
    <mergeCell ref="S479:AD479"/>
    <mergeCell ref="AE479:AF479"/>
    <mergeCell ref="AG479:AI479"/>
    <mergeCell ref="AJ479:AK479"/>
    <mergeCell ref="AL480:AO480"/>
    <mergeCell ref="AP480:AU480"/>
    <mergeCell ref="AV480:AW480"/>
    <mergeCell ref="C480:E480"/>
    <mergeCell ref="F480:H480"/>
    <mergeCell ref="I480:R480"/>
    <mergeCell ref="S480:AD480"/>
    <mergeCell ref="AE480:AF480"/>
    <mergeCell ref="AG480:AI480"/>
    <mergeCell ref="AJ480:AK480"/>
    <mergeCell ref="AL481:AO481"/>
    <mergeCell ref="AP481:AU481"/>
    <mergeCell ref="AV481:AW481"/>
    <mergeCell ref="C481:E481"/>
    <mergeCell ref="F481:H481"/>
    <mergeCell ref="I481:R481"/>
    <mergeCell ref="S481:AD481"/>
    <mergeCell ref="AE481:AF481"/>
    <mergeCell ref="AG481:AI481"/>
    <mergeCell ref="AJ481:AK481"/>
    <mergeCell ref="AL482:AO482"/>
    <mergeCell ref="AP482:AU482"/>
    <mergeCell ref="AV482:AW482"/>
    <mergeCell ref="C482:E482"/>
    <mergeCell ref="F482:H482"/>
    <mergeCell ref="I482:R482"/>
    <mergeCell ref="S482:AD482"/>
    <mergeCell ref="AE482:AF482"/>
    <mergeCell ref="AG482:AI482"/>
    <mergeCell ref="AJ482:AK482"/>
    <mergeCell ref="AL483:AO483"/>
    <mergeCell ref="AP483:AU483"/>
    <mergeCell ref="AV483:AW483"/>
    <mergeCell ref="C483:E483"/>
    <mergeCell ref="F483:H483"/>
    <mergeCell ref="I483:R483"/>
    <mergeCell ref="S483:AD483"/>
    <mergeCell ref="AE483:AF483"/>
    <mergeCell ref="AG483:AI483"/>
    <mergeCell ref="AJ483:AK483"/>
    <mergeCell ref="AL484:AO484"/>
    <mergeCell ref="AP484:AU484"/>
    <mergeCell ref="AV484:AW484"/>
    <mergeCell ref="C484:E484"/>
    <mergeCell ref="F484:H484"/>
    <mergeCell ref="I484:R484"/>
    <mergeCell ref="S484:AD484"/>
    <mergeCell ref="AE484:AF484"/>
    <mergeCell ref="AG484:AI484"/>
    <mergeCell ref="AJ484:AK484"/>
    <mergeCell ref="AL485:AO485"/>
    <mergeCell ref="AP485:AU485"/>
    <mergeCell ref="AV485:AW485"/>
    <mergeCell ref="C485:E485"/>
    <mergeCell ref="F485:H485"/>
    <mergeCell ref="I485:R485"/>
    <mergeCell ref="S485:AD485"/>
    <mergeCell ref="AE485:AF485"/>
    <mergeCell ref="AG485:AI485"/>
    <mergeCell ref="AJ485:AK485"/>
    <mergeCell ref="AL486:AO486"/>
    <mergeCell ref="AP486:AU486"/>
    <mergeCell ref="AV486:AW486"/>
    <mergeCell ref="C486:E486"/>
    <mergeCell ref="F486:H486"/>
    <mergeCell ref="I486:R486"/>
    <mergeCell ref="S486:AD486"/>
    <mergeCell ref="AE486:AF486"/>
    <mergeCell ref="AG486:AI486"/>
    <mergeCell ref="AJ486:AK486"/>
    <mergeCell ref="AL487:AO487"/>
    <mergeCell ref="AP487:AU487"/>
    <mergeCell ref="AV487:AW487"/>
    <mergeCell ref="C487:E487"/>
    <mergeCell ref="F487:H487"/>
    <mergeCell ref="I487:R487"/>
    <mergeCell ref="S487:AD487"/>
    <mergeCell ref="AE487:AF487"/>
    <mergeCell ref="AG487:AI487"/>
    <mergeCell ref="AJ487:AK487"/>
    <mergeCell ref="AL488:AO488"/>
    <mergeCell ref="AP488:AU488"/>
    <mergeCell ref="AV488:AW488"/>
    <mergeCell ref="C488:E488"/>
    <mergeCell ref="F488:H488"/>
    <mergeCell ref="I488:R488"/>
    <mergeCell ref="S488:AD488"/>
    <mergeCell ref="AE488:AF488"/>
    <mergeCell ref="AG488:AI488"/>
    <mergeCell ref="AJ488:AK488"/>
    <mergeCell ref="AL489:AO489"/>
    <mergeCell ref="AP489:AU489"/>
    <mergeCell ref="AV489:AW489"/>
    <mergeCell ref="C489:E489"/>
    <mergeCell ref="F489:H489"/>
    <mergeCell ref="I489:R489"/>
    <mergeCell ref="S489:AD489"/>
    <mergeCell ref="AE489:AF489"/>
    <mergeCell ref="AG489:AI489"/>
    <mergeCell ref="AJ489:AK489"/>
    <mergeCell ref="AL490:AO490"/>
    <mergeCell ref="AP490:AU490"/>
    <mergeCell ref="AV490:AW490"/>
    <mergeCell ref="C490:E490"/>
    <mergeCell ref="F490:H490"/>
    <mergeCell ref="I490:R490"/>
    <mergeCell ref="S490:AD490"/>
    <mergeCell ref="AE490:AF490"/>
    <mergeCell ref="AG490:AI490"/>
    <mergeCell ref="AJ490:AK490"/>
    <mergeCell ref="AL491:AO491"/>
    <mergeCell ref="AP491:AU491"/>
    <mergeCell ref="AV491:AW491"/>
    <mergeCell ref="C491:E491"/>
    <mergeCell ref="F491:H491"/>
    <mergeCell ref="I491:R491"/>
    <mergeCell ref="S491:AD491"/>
    <mergeCell ref="AE491:AF491"/>
    <mergeCell ref="AG491:AI491"/>
    <mergeCell ref="AJ491:AK491"/>
    <mergeCell ref="AL492:AO492"/>
    <mergeCell ref="AP492:AU492"/>
    <mergeCell ref="AV492:AW492"/>
    <mergeCell ref="C492:E492"/>
    <mergeCell ref="F492:H492"/>
    <mergeCell ref="I492:R492"/>
    <mergeCell ref="S492:AD492"/>
    <mergeCell ref="AE492:AF492"/>
    <mergeCell ref="AG492:AI492"/>
    <mergeCell ref="AJ492:AK492"/>
    <mergeCell ref="AL493:AO493"/>
    <mergeCell ref="AP493:AU493"/>
    <mergeCell ref="AV493:AW493"/>
    <mergeCell ref="C493:E493"/>
    <mergeCell ref="F493:H493"/>
    <mergeCell ref="I493:R493"/>
    <mergeCell ref="S493:AD493"/>
    <mergeCell ref="AE493:AF493"/>
    <mergeCell ref="AG493:AI493"/>
    <mergeCell ref="AJ493:AK493"/>
    <mergeCell ref="AL494:AO494"/>
    <mergeCell ref="AP494:AU494"/>
    <mergeCell ref="AV494:AW494"/>
    <mergeCell ref="C494:E494"/>
    <mergeCell ref="F494:H494"/>
    <mergeCell ref="I494:R494"/>
    <mergeCell ref="S494:AD494"/>
    <mergeCell ref="AE494:AF494"/>
    <mergeCell ref="AG494:AI494"/>
    <mergeCell ref="AJ494:AK494"/>
    <mergeCell ref="AL495:AO495"/>
    <mergeCell ref="AP495:AU495"/>
    <mergeCell ref="AV495:AW495"/>
    <mergeCell ref="C495:E495"/>
    <mergeCell ref="F495:H495"/>
    <mergeCell ref="I495:R495"/>
    <mergeCell ref="S495:AD495"/>
    <mergeCell ref="AE495:AF495"/>
    <mergeCell ref="AG495:AI495"/>
    <mergeCell ref="AJ495:AK495"/>
    <mergeCell ref="AL496:AO496"/>
    <mergeCell ref="AP496:AU496"/>
    <mergeCell ref="AV496:AW496"/>
    <mergeCell ref="C496:E496"/>
    <mergeCell ref="F496:H496"/>
    <mergeCell ref="I496:R496"/>
    <mergeCell ref="S496:AD496"/>
    <mergeCell ref="AE496:AF496"/>
    <mergeCell ref="AG496:AI496"/>
    <mergeCell ref="AJ496:AK496"/>
    <mergeCell ref="AL497:AO497"/>
    <mergeCell ref="AP497:AU497"/>
    <mergeCell ref="AV497:AW497"/>
    <mergeCell ref="C497:E497"/>
    <mergeCell ref="F497:H497"/>
    <mergeCell ref="I497:R497"/>
    <mergeCell ref="S497:AD497"/>
    <mergeCell ref="AE497:AF497"/>
    <mergeCell ref="AG497:AI497"/>
    <mergeCell ref="AJ497:AK497"/>
    <mergeCell ref="AL498:AO498"/>
    <mergeCell ref="AP498:AU498"/>
    <mergeCell ref="AV498:AW498"/>
    <mergeCell ref="C498:E498"/>
    <mergeCell ref="F498:H498"/>
    <mergeCell ref="I498:R498"/>
    <mergeCell ref="S498:AD498"/>
    <mergeCell ref="AE498:AF498"/>
    <mergeCell ref="AG498:AI498"/>
    <mergeCell ref="AJ498:AK498"/>
    <mergeCell ref="AL499:AO499"/>
    <mergeCell ref="AP499:AU499"/>
    <mergeCell ref="AV499:AW499"/>
    <mergeCell ref="C499:E499"/>
    <mergeCell ref="F499:H499"/>
    <mergeCell ref="I499:R499"/>
    <mergeCell ref="S499:AD499"/>
    <mergeCell ref="AE499:AF499"/>
    <mergeCell ref="AG499:AI499"/>
    <mergeCell ref="AJ499:AK499"/>
    <mergeCell ref="AL500:AO500"/>
    <mergeCell ref="AP500:AU500"/>
    <mergeCell ref="AV500:AW500"/>
    <mergeCell ref="C500:E500"/>
    <mergeCell ref="F500:H500"/>
    <mergeCell ref="I500:R500"/>
    <mergeCell ref="S500:AD500"/>
    <mergeCell ref="AE500:AF500"/>
    <mergeCell ref="AG500:AI500"/>
    <mergeCell ref="AJ500:AK500"/>
    <mergeCell ref="AL501:AO501"/>
    <mergeCell ref="AP501:AU501"/>
    <mergeCell ref="AV501:AW501"/>
    <mergeCell ref="C501:E501"/>
    <mergeCell ref="F501:H501"/>
    <mergeCell ref="I501:R501"/>
    <mergeCell ref="S501:AD501"/>
    <mergeCell ref="AE501:AF501"/>
    <mergeCell ref="AG501:AI501"/>
    <mergeCell ref="AJ501:AK501"/>
    <mergeCell ref="AL502:AO502"/>
    <mergeCell ref="AP502:AU502"/>
    <mergeCell ref="AV502:AW502"/>
    <mergeCell ref="C502:E502"/>
    <mergeCell ref="F502:H502"/>
    <mergeCell ref="I502:R502"/>
    <mergeCell ref="S502:AD502"/>
    <mergeCell ref="AE502:AF502"/>
    <mergeCell ref="AG502:AI502"/>
    <mergeCell ref="AJ502:AK502"/>
    <mergeCell ref="AL503:AO503"/>
    <mergeCell ref="AP503:AU503"/>
    <mergeCell ref="AV503:AW503"/>
    <mergeCell ref="C503:E503"/>
    <mergeCell ref="F503:H503"/>
    <mergeCell ref="I503:R503"/>
    <mergeCell ref="S503:AD503"/>
    <mergeCell ref="AE503:AF503"/>
    <mergeCell ref="AG503:AI503"/>
    <mergeCell ref="AJ503:AK503"/>
    <mergeCell ref="AL504:AO504"/>
    <mergeCell ref="AP504:AU504"/>
    <mergeCell ref="AV504:AW504"/>
    <mergeCell ref="C504:E504"/>
    <mergeCell ref="F504:H504"/>
    <mergeCell ref="I504:R504"/>
    <mergeCell ref="S504:AD504"/>
    <mergeCell ref="AE504:AF504"/>
    <mergeCell ref="AG504:AI504"/>
    <mergeCell ref="AJ504:AK504"/>
    <mergeCell ref="AL505:AO505"/>
    <mergeCell ref="AP505:AU505"/>
    <mergeCell ref="AV505:AW505"/>
    <mergeCell ref="C505:E505"/>
    <mergeCell ref="F505:H505"/>
    <mergeCell ref="I505:R505"/>
    <mergeCell ref="S505:AD505"/>
    <mergeCell ref="AE505:AF505"/>
    <mergeCell ref="AG505:AI505"/>
    <mergeCell ref="AJ505:AK505"/>
    <mergeCell ref="AL506:AO506"/>
    <mergeCell ref="AP506:AU506"/>
    <mergeCell ref="AV506:AW506"/>
    <mergeCell ref="C506:E506"/>
    <mergeCell ref="F506:H506"/>
    <mergeCell ref="I506:R506"/>
    <mergeCell ref="S506:AD506"/>
    <mergeCell ref="AE506:AF506"/>
    <mergeCell ref="AG506:AI506"/>
    <mergeCell ref="AJ506:AK506"/>
    <mergeCell ref="AL507:AO507"/>
    <mergeCell ref="AP507:AU507"/>
    <mergeCell ref="AV507:AW507"/>
    <mergeCell ref="C507:E507"/>
    <mergeCell ref="F507:H507"/>
    <mergeCell ref="I507:R507"/>
    <mergeCell ref="S507:AD507"/>
    <mergeCell ref="AE507:AF507"/>
    <mergeCell ref="AG507:AI507"/>
    <mergeCell ref="AJ507:AK507"/>
    <mergeCell ref="AL508:AO508"/>
    <mergeCell ref="AP508:AU508"/>
    <mergeCell ref="AV508:AW508"/>
    <mergeCell ref="C508:E508"/>
    <mergeCell ref="F508:H508"/>
    <mergeCell ref="I508:R508"/>
    <mergeCell ref="S508:AD508"/>
    <mergeCell ref="AE508:AF508"/>
    <mergeCell ref="AG508:AI508"/>
    <mergeCell ref="AJ508:AK508"/>
    <mergeCell ref="AL509:AO509"/>
    <mergeCell ref="AP509:AU509"/>
    <mergeCell ref="AV509:AW509"/>
    <mergeCell ref="C509:E509"/>
    <mergeCell ref="F509:H509"/>
    <mergeCell ref="I509:R509"/>
    <mergeCell ref="S509:AD509"/>
    <mergeCell ref="AE509:AF509"/>
    <mergeCell ref="AG509:AI509"/>
    <mergeCell ref="AJ509:AK509"/>
    <mergeCell ref="AL510:AO510"/>
    <mergeCell ref="AP510:AU510"/>
    <mergeCell ref="AV510:AW510"/>
    <mergeCell ref="C510:E510"/>
    <mergeCell ref="F510:H510"/>
    <mergeCell ref="I510:R510"/>
    <mergeCell ref="S510:AD510"/>
    <mergeCell ref="AE510:AF510"/>
    <mergeCell ref="AG510:AI510"/>
    <mergeCell ref="AJ510:AK510"/>
    <mergeCell ref="AL511:AO511"/>
    <mergeCell ref="AP511:AU511"/>
    <mergeCell ref="AV511:AW511"/>
    <mergeCell ref="C511:E511"/>
    <mergeCell ref="F511:H511"/>
    <mergeCell ref="I511:R511"/>
    <mergeCell ref="S511:AD511"/>
    <mergeCell ref="AE511:AF511"/>
    <mergeCell ref="AG511:AI511"/>
    <mergeCell ref="AJ511:AK511"/>
    <mergeCell ref="AL512:AO512"/>
    <mergeCell ref="AP512:AU512"/>
    <mergeCell ref="AV512:AW512"/>
    <mergeCell ref="C512:E512"/>
    <mergeCell ref="F512:H512"/>
    <mergeCell ref="I512:R512"/>
    <mergeCell ref="S512:AD512"/>
    <mergeCell ref="AE512:AF512"/>
    <mergeCell ref="AG512:AI512"/>
    <mergeCell ref="AJ512:AK512"/>
    <mergeCell ref="AL513:AO513"/>
    <mergeCell ref="AP513:AU513"/>
    <mergeCell ref="AV513:AW513"/>
    <mergeCell ref="C513:E513"/>
    <mergeCell ref="F513:H513"/>
    <mergeCell ref="I513:R513"/>
    <mergeCell ref="S513:AD513"/>
    <mergeCell ref="AE513:AF513"/>
    <mergeCell ref="AG513:AI513"/>
    <mergeCell ref="AJ513:AK513"/>
    <mergeCell ref="AL514:AO514"/>
    <mergeCell ref="AP514:AU514"/>
    <mergeCell ref="AV514:AW514"/>
    <mergeCell ref="C514:E514"/>
    <mergeCell ref="F514:H514"/>
    <mergeCell ref="I514:R514"/>
    <mergeCell ref="S514:AD514"/>
    <mergeCell ref="AE514:AF514"/>
    <mergeCell ref="AG514:AI514"/>
    <mergeCell ref="AJ514:AK514"/>
    <mergeCell ref="AL515:AO515"/>
    <mergeCell ref="AP515:AU515"/>
    <mergeCell ref="AV515:AW515"/>
    <mergeCell ref="C515:E515"/>
    <mergeCell ref="F515:H515"/>
    <mergeCell ref="I515:R515"/>
    <mergeCell ref="S515:AD515"/>
    <mergeCell ref="AE515:AF515"/>
    <mergeCell ref="AG515:AI515"/>
    <mergeCell ref="AJ515:AK515"/>
    <mergeCell ref="AL516:AO516"/>
    <mergeCell ref="AP516:AU516"/>
    <mergeCell ref="AV516:AW516"/>
    <mergeCell ref="C516:E516"/>
    <mergeCell ref="F516:H516"/>
    <mergeCell ref="I516:R516"/>
    <mergeCell ref="S516:AD516"/>
    <mergeCell ref="AE516:AF516"/>
    <mergeCell ref="AG516:AI516"/>
    <mergeCell ref="AJ516:AK516"/>
    <mergeCell ref="AL517:AO517"/>
    <mergeCell ref="AP517:AU517"/>
    <mergeCell ref="AV517:AW517"/>
    <mergeCell ref="C517:E517"/>
    <mergeCell ref="F517:H517"/>
    <mergeCell ref="I517:R517"/>
    <mergeCell ref="S517:AD517"/>
    <mergeCell ref="AE517:AF517"/>
    <mergeCell ref="AG517:AI517"/>
    <mergeCell ref="AJ517:AK517"/>
    <mergeCell ref="AL518:AO518"/>
    <mergeCell ref="AP518:AU518"/>
    <mergeCell ref="AV518:AW518"/>
    <mergeCell ref="C518:E518"/>
    <mergeCell ref="F518:H518"/>
    <mergeCell ref="I518:R518"/>
    <mergeCell ref="S518:AD518"/>
    <mergeCell ref="AE518:AF518"/>
    <mergeCell ref="AG518:AI518"/>
    <mergeCell ref="AJ518:AK518"/>
    <mergeCell ref="AL519:AO519"/>
    <mergeCell ref="AP519:AU519"/>
    <mergeCell ref="AV519:AW519"/>
    <mergeCell ref="C519:E519"/>
    <mergeCell ref="F519:H519"/>
    <mergeCell ref="I519:R519"/>
    <mergeCell ref="S519:AD519"/>
    <mergeCell ref="AE519:AF519"/>
    <mergeCell ref="AG519:AI519"/>
    <mergeCell ref="AJ519:AK519"/>
    <mergeCell ref="AL520:AO520"/>
    <mergeCell ref="AP520:AU520"/>
    <mergeCell ref="AV520:AW520"/>
    <mergeCell ref="C520:E520"/>
    <mergeCell ref="F520:H520"/>
    <mergeCell ref="I520:R520"/>
    <mergeCell ref="S520:AD520"/>
    <mergeCell ref="AE520:AF520"/>
    <mergeCell ref="AG520:AI520"/>
    <mergeCell ref="AJ520:AK520"/>
    <mergeCell ref="AL521:AO521"/>
    <mergeCell ref="AP521:AU521"/>
    <mergeCell ref="AV521:AW521"/>
    <mergeCell ref="C521:E521"/>
    <mergeCell ref="F521:H521"/>
    <mergeCell ref="I521:R521"/>
    <mergeCell ref="S521:AD521"/>
    <mergeCell ref="AE521:AF521"/>
    <mergeCell ref="AG521:AI521"/>
    <mergeCell ref="AJ521:AK521"/>
    <mergeCell ref="AL522:AO522"/>
    <mergeCell ref="AP522:AU522"/>
    <mergeCell ref="AV522:AW522"/>
    <mergeCell ref="C522:E522"/>
    <mergeCell ref="F522:H522"/>
    <mergeCell ref="I522:R522"/>
    <mergeCell ref="S522:AD522"/>
    <mergeCell ref="AE522:AF522"/>
    <mergeCell ref="AG522:AI522"/>
    <mergeCell ref="AJ522:AK522"/>
    <mergeCell ref="AL523:AO523"/>
    <mergeCell ref="AP523:AU523"/>
    <mergeCell ref="AV523:AW523"/>
    <mergeCell ref="C523:E523"/>
    <mergeCell ref="F523:H523"/>
    <mergeCell ref="I523:R523"/>
    <mergeCell ref="S523:AD523"/>
    <mergeCell ref="AE523:AF523"/>
    <mergeCell ref="AG523:AI523"/>
    <mergeCell ref="AJ523:AK523"/>
    <mergeCell ref="AL524:AO524"/>
    <mergeCell ref="AP524:AU524"/>
    <mergeCell ref="AV524:AW524"/>
    <mergeCell ref="C524:E524"/>
    <mergeCell ref="F524:H524"/>
    <mergeCell ref="I524:R524"/>
    <mergeCell ref="S524:AD524"/>
    <mergeCell ref="AE524:AF524"/>
    <mergeCell ref="AG524:AI524"/>
    <mergeCell ref="AJ524:AK524"/>
    <mergeCell ref="AL525:AO525"/>
    <mergeCell ref="AP525:AU525"/>
    <mergeCell ref="AV525:AW525"/>
    <mergeCell ref="C525:E525"/>
    <mergeCell ref="F525:H525"/>
    <mergeCell ref="I525:R525"/>
    <mergeCell ref="S525:AD525"/>
    <mergeCell ref="AE525:AF525"/>
    <mergeCell ref="AG525:AI525"/>
    <mergeCell ref="AJ525:AK525"/>
    <mergeCell ref="AL526:AO526"/>
    <mergeCell ref="AP526:AU526"/>
    <mergeCell ref="AV526:AW526"/>
    <mergeCell ref="C526:E526"/>
    <mergeCell ref="F526:H526"/>
    <mergeCell ref="I526:R526"/>
    <mergeCell ref="S526:AD526"/>
    <mergeCell ref="AE526:AF526"/>
    <mergeCell ref="AG526:AI526"/>
    <mergeCell ref="AJ526:AK526"/>
    <mergeCell ref="AL527:AO527"/>
    <mergeCell ref="AP527:AU527"/>
    <mergeCell ref="AV527:AW527"/>
    <mergeCell ref="C527:E527"/>
    <mergeCell ref="F527:H527"/>
    <mergeCell ref="I527:R527"/>
    <mergeCell ref="S527:AD527"/>
    <mergeCell ref="AE527:AF527"/>
    <mergeCell ref="AG527:AI527"/>
    <mergeCell ref="AJ527:AK527"/>
    <mergeCell ref="AL528:AO528"/>
    <mergeCell ref="AP528:AU528"/>
    <mergeCell ref="AV528:AW528"/>
    <mergeCell ref="C528:E528"/>
    <mergeCell ref="F528:H528"/>
    <mergeCell ref="I528:R528"/>
    <mergeCell ref="S528:AD528"/>
    <mergeCell ref="AE528:AF528"/>
    <mergeCell ref="AG528:AI528"/>
    <mergeCell ref="AJ528:AK528"/>
    <mergeCell ref="AL529:AO529"/>
    <mergeCell ref="AP529:AU529"/>
    <mergeCell ref="AV529:AW529"/>
    <mergeCell ref="C529:E529"/>
    <mergeCell ref="F529:H529"/>
    <mergeCell ref="I529:R529"/>
    <mergeCell ref="S529:AD529"/>
    <mergeCell ref="AE529:AF529"/>
    <mergeCell ref="AG529:AI529"/>
    <mergeCell ref="AJ529:AK529"/>
    <mergeCell ref="AL530:AO530"/>
    <mergeCell ref="AP530:AU530"/>
    <mergeCell ref="AV530:AW530"/>
    <mergeCell ref="C530:E530"/>
    <mergeCell ref="F530:H530"/>
    <mergeCell ref="I530:R530"/>
    <mergeCell ref="S530:AD530"/>
    <mergeCell ref="AE530:AF530"/>
    <mergeCell ref="AG530:AI530"/>
    <mergeCell ref="AJ530:AK530"/>
    <mergeCell ref="AL531:AO531"/>
    <mergeCell ref="AP531:AU531"/>
    <mergeCell ref="AV531:AW531"/>
    <mergeCell ref="C531:E531"/>
    <mergeCell ref="F531:H531"/>
    <mergeCell ref="I531:R531"/>
    <mergeCell ref="S531:AD531"/>
    <mergeCell ref="AE531:AF531"/>
    <mergeCell ref="AG531:AI531"/>
    <mergeCell ref="AJ531:AK531"/>
    <mergeCell ref="AL532:AO532"/>
    <mergeCell ref="AP532:AU532"/>
    <mergeCell ref="AV532:AW532"/>
    <mergeCell ref="C532:E532"/>
    <mergeCell ref="F532:H532"/>
    <mergeCell ref="I532:R532"/>
    <mergeCell ref="S532:AD532"/>
    <mergeCell ref="AE532:AF532"/>
    <mergeCell ref="AG532:AI532"/>
    <mergeCell ref="AJ532:AK532"/>
    <mergeCell ref="AL533:AO533"/>
    <mergeCell ref="AP533:AU533"/>
    <mergeCell ref="AV533:AW533"/>
    <mergeCell ref="C533:E533"/>
    <mergeCell ref="F533:H533"/>
    <mergeCell ref="I533:R533"/>
    <mergeCell ref="S533:AD533"/>
    <mergeCell ref="AE533:AF533"/>
    <mergeCell ref="AG533:AI533"/>
    <mergeCell ref="AJ533:AK533"/>
    <mergeCell ref="AL534:AO534"/>
    <mergeCell ref="AP534:AU534"/>
    <mergeCell ref="AV534:AW534"/>
    <mergeCell ref="C534:E534"/>
    <mergeCell ref="F534:H534"/>
    <mergeCell ref="I534:R534"/>
    <mergeCell ref="S534:AD534"/>
    <mergeCell ref="AE534:AF534"/>
    <mergeCell ref="AG534:AI534"/>
    <mergeCell ref="AJ534:AK534"/>
    <mergeCell ref="AL535:AO535"/>
    <mergeCell ref="AP535:AU535"/>
    <mergeCell ref="AV535:AW535"/>
    <mergeCell ref="C535:E535"/>
    <mergeCell ref="F535:H535"/>
    <mergeCell ref="I535:R535"/>
    <mergeCell ref="S535:AD535"/>
    <mergeCell ref="AE535:AF535"/>
    <mergeCell ref="AG535:AI535"/>
    <mergeCell ref="AJ535:AK535"/>
    <mergeCell ref="AL536:AO536"/>
    <mergeCell ref="AP536:AU536"/>
    <mergeCell ref="AV536:AW536"/>
    <mergeCell ref="C536:E536"/>
    <mergeCell ref="F536:H536"/>
    <mergeCell ref="I536:R536"/>
    <mergeCell ref="S536:AD536"/>
    <mergeCell ref="AE536:AF536"/>
    <mergeCell ref="AG536:AI536"/>
    <mergeCell ref="AJ536:AK536"/>
    <mergeCell ref="AL537:AO537"/>
    <mergeCell ref="AP537:AU537"/>
    <mergeCell ref="AV537:AW537"/>
    <mergeCell ref="C537:E537"/>
    <mergeCell ref="F537:H537"/>
    <mergeCell ref="I537:R537"/>
    <mergeCell ref="S537:AD537"/>
    <mergeCell ref="AE537:AF537"/>
    <mergeCell ref="AG537:AI537"/>
    <mergeCell ref="AJ537:AK537"/>
    <mergeCell ref="AL538:AO538"/>
    <mergeCell ref="AP538:AU538"/>
    <mergeCell ref="AV538:AW538"/>
    <mergeCell ref="C538:E538"/>
    <mergeCell ref="F538:H538"/>
    <mergeCell ref="I538:R538"/>
    <mergeCell ref="S538:AD538"/>
    <mergeCell ref="AE538:AF538"/>
    <mergeCell ref="AG538:AI538"/>
    <mergeCell ref="AJ538:AK538"/>
    <mergeCell ref="AL539:AO539"/>
    <mergeCell ref="AP539:AU539"/>
    <mergeCell ref="AV539:AW539"/>
    <mergeCell ref="C539:E539"/>
    <mergeCell ref="F539:H539"/>
    <mergeCell ref="I539:R539"/>
    <mergeCell ref="S539:AD539"/>
    <mergeCell ref="AE539:AF539"/>
    <mergeCell ref="AG539:AI539"/>
    <mergeCell ref="AJ539:AK539"/>
    <mergeCell ref="AL540:AO540"/>
    <mergeCell ref="AP540:AU540"/>
    <mergeCell ref="AV540:AW540"/>
    <mergeCell ref="C540:E540"/>
    <mergeCell ref="F540:H540"/>
    <mergeCell ref="I540:R540"/>
    <mergeCell ref="S540:AD540"/>
    <mergeCell ref="AE540:AF540"/>
    <mergeCell ref="AG540:AI540"/>
    <mergeCell ref="AJ540:AK540"/>
    <mergeCell ref="AL541:AO541"/>
    <mergeCell ref="AP541:AU541"/>
    <mergeCell ref="AV541:AW541"/>
    <mergeCell ref="C541:E541"/>
    <mergeCell ref="F541:H541"/>
    <mergeCell ref="I541:R541"/>
    <mergeCell ref="S541:AD541"/>
    <mergeCell ref="AE541:AF541"/>
    <mergeCell ref="AG541:AI541"/>
    <mergeCell ref="AJ541:AK541"/>
    <mergeCell ref="AL542:AO542"/>
    <mergeCell ref="AP542:AU542"/>
    <mergeCell ref="AV542:AW542"/>
    <mergeCell ref="C542:E542"/>
    <mergeCell ref="F542:H542"/>
    <mergeCell ref="I542:R542"/>
    <mergeCell ref="S542:AD542"/>
    <mergeCell ref="AE542:AF542"/>
    <mergeCell ref="AG542:AI542"/>
    <mergeCell ref="AJ542:AK542"/>
    <mergeCell ref="AL543:AO543"/>
    <mergeCell ref="AP543:AU543"/>
    <mergeCell ref="AV543:AW543"/>
    <mergeCell ref="C543:E543"/>
    <mergeCell ref="F543:H543"/>
    <mergeCell ref="I543:R543"/>
    <mergeCell ref="S543:AD543"/>
    <mergeCell ref="AE543:AF543"/>
    <mergeCell ref="AG543:AI543"/>
    <mergeCell ref="AJ543:AK543"/>
    <mergeCell ref="AL544:AO544"/>
    <mergeCell ref="AP544:AU544"/>
    <mergeCell ref="AV544:AW544"/>
    <mergeCell ref="C544:E544"/>
    <mergeCell ref="F544:H544"/>
    <mergeCell ref="I544:R544"/>
    <mergeCell ref="S544:AD544"/>
    <mergeCell ref="AE544:AF544"/>
    <mergeCell ref="AG544:AI544"/>
    <mergeCell ref="AJ544:AK544"/>
    <mergeCell ref="AL545:AO545"/>
    <mergeCell ref="AP545:AU545"/>
    <mergeCell ref="AV545:AW545"/>
    <mergeCell ref="C545:E545"/>
    <mergeCell ref="F545:H545"/>
    <mergeCell ref="I545:R545"/>
    <mergeCell ref="S545:AD545"/>
    <mergeCell ref="AE545:AF545"/>
    <mergeCell ref="AG545:AI545"/>
    <mergeCell ref="AJ545:AK545"/>
    <mergeCell ref="AL546:AO546"/>
    <mergeCell ref="AP546:AU546"/>
    <mergeCell ref="AV546:AW546"/>
    <mergeCell ref="C546:E546"/>
    <mergeCell ref="F546:H546"/>
    <mergeCell ref="I546:R546"/>
    <mergeCell ref="S546:AD546"/>
    <mergeCell ref="AE546:AF546"/>
    <mergeCell ref="AG546:AI546"/>
    <mergeCell ref="AJ546:AK546"/>
    <mergeCell ref="AL547:AO547"/>
    <mergeCell ref="AP547:AU547"/>
    <mergeCell ref="AV547:AW547"/>
    <mergeCell ref="C547:E547"/>
    <mergeCell ref="F547:H547"/>
    <mergeCell ref="I547:R547"/>
    <mergeCell ref="S547:AD547"/>
    <mergeCell ref="AE547:AF547"/>
    <mergeCell ref="AG547:AI547"/>
    <mergeCell ref="AJ547:AK547"/>
    <mergeCell ref="AL548:AO548"/>
    <mergeCell ref="AP548:AU548"/>
    <mergeCell ref="AV548:AW548"/>
    <mergeCell ref="C548:E548"/>
    <mergeCell ref="F548:H548"/>
    <mergeCell ref="I548:R548"/>
    <mergeCell ref="S548:AD548"/>
    <mergeCell ref="AE548:AF548"/>
    <mergeCell ref="AG548:AI548"/>
    <mergeCell ref="AJ548:AK548"/>
    <mergeCell ref="AL549:AO549"/>
    <mergeCell ref="AP549:AU549"/>
    <mergeCell ref="AV549:AW549"/>
    <mergeCell ref="C549:E549"/>
    <mergeCell ref="F549:H549"/>
    <mergeCell ref="I549:R549"/>
    <mergeCell ref="S549:AD549"/>
    <mergeCell ref="AE549:AF549"/>
    <mergeCell ref="AG549:AI549"/>
    <mergeCell ref="AJ549:AK549"/>
    <mergeCell ref="AL550:AO550"/>
    <mergeCell ref="AP550:AU550"/>
    <mergeCell ref="AV550:AW550"/>
    <mergeCell ref="C550:E550"/>
    <mergeCell ref="F550:H550"/>
    <mergeCell ref="I550:R550"/>
    <mergeCell ref="S550:AD550"/>
    <mergeCell ref="AE550:AF550"/>
    <mergeCell ref="AG550:AI550"/>
    <mergeCell ref="AJ550:AK550"/>
    <mergeCell ref="AL551:AO551"/>
    <mergeCell ref="AP551:AU551"/>
    <mergeCell ref="AV551:AW551"/>
    <mergeCell ref="C551:E551"/>
    <mergeCell ref="F551:H551"/>
    <mergeCell ref="I551:R551"/>
    <mergeCell ref="S551:AD551"/>
    <mergeCell ref="AE551:AF551"/>
    <mergeCell ref="AG551:AI551"/>
    <mergeCell ref="AJ551:AK551"/>
    <mergeCell ref="AL552:AO552"/>
    <mergeCell ref="AP552:AU552"/>
    <mergeCell ref="AV552:AW552"/>
    <mergeCell ref="C552:E552"/>
    <mergeCell ref="F552:H552"/>
    <mergeCell ref="I552:R552"/>
    <mergeCell ref="S552:AD552"/>
    <mergeCell ref="AE552:AF552"/>
    <mergeCell ref="AG552:AI552"/>
    <mergeCell ref="AJ552:AK552"/>
    <mergeCell ref="AL553:AO553"/>
    <mergeCell ref="AP553:AU553"/>
    <mergeCell ref="AV553:AW553"/>
    <mergeCell ref="C553:E553"/>
    <mergeCell ref="F553:H553"/>
    <mergeCell ref="I553:R553"/>
    <mergeCell ref="S553:AD553"/>
    <mergeCell ref="AE553:AF553"/>
    <mergeCell ref="AG553:AI553"/>
    <mergeCell ref="AJ553:AK553"/>
    <mergeCell ref="AL554:AO554"/>
    <mergeCell ref="AP554:AU554"/>
    <mergeCell ref="AV554:AW554"/>
    <mergeCell ref="C554:E554"/>
    <mergeCell ref="F554:H554"/>
    <mergeCell ref="I554:R554"/>
    <mergeCell ref="S554:AD554"/>
    <mergeCell ref="AE554:AF554"/>
    <mergeCell ref="AG554:AI554"/>
    <mergeCell ref="AJ554:AK554"/>
    <mergeCell ref="AL555:AO555"/>
    <mergeCell ref="AP555:AU555"/>
    <mergeCell ref="AV555:AW555"/>
    <mergeCell ref="C555:E555"/>
    <mergeCell ref="F555:H555"/>
    <mergeCell ref="I555:R555"/>
    <mergeCell ref="S555:AD555"/>
    <mergeCell ref="AE555:AF555"/>
    <mergeCell ref="AG555:AI555"/>
    <mergeCell ref="AJ555:AK555"/>
    <mergeCell ref="AL556:AO556"/>
    <mergeCell ref="AP556:AU556"/>
    <mergeCell ref="AV556:AW556"/>
    <mergeCell ref="C556:E556"/>
    <mergeCell ref="F556:H556"/>
    <mergeCell ref="I556:R556"/>
    <mergeCell ref="S556:AD556"/>
    <mergeCell ref="AE556:AF556"/>
    <mergeCell ref="AG556:AI556"/>
    <mergeCell ref="AJ556:AK556"/>
    <mergeCell ref="AL557:AO557"/>
    <mergeCell ref="AP557:AU557"/>
    <mergeCell ref="AV557:AW557"/>
    <mergeCell ref="C557:E557"/>
    <mergeCell ref="F557:H557"/>
    <mergeCell ref="I557:R557"/>
    <mergeCell ref="S557:AD557"/>
    <mergeCell ref="AE557:AF557"/>
    <mergeCell ref="AG557:AI557"/>
    <mergeCell ref="AJ557:AK557"/>
    <mergeCell ref="AL558:AO558"/>
    <mergeCell ref="AP558:AU558"/>
    <mergeCell ref="AV558:AW558"/>
    <mergeCell ref="C558:E558"/>
    <mergeCell ref="F558:H558"/>
    <mergeCell ref="I558:R558"/>
    <mergeCell ref="S558:AD558"/>
    <mergeCell ref="AE558:AF558"/>
    <mergeCell ref="AG558:AI558"/>
    <mergeCell ref="AJ558:AK558"/>
    <mergeCell ref="AL559:AO559"/>
    <mergeCell ref="AP559:AU559"/>
    <mergeCell ref="AV559:AW559"/>
    <mergeCell ref="C559:E559"/>
    <mergeCell ref="F559:H559"/>
    <mergeCell ref="I559:R559"/>
    <mergeCell ref="S559:AD559"/>
    <mergeCell ref="AE559:AF559"/>
    <mergeCell ref="AG559:AI559"/>
    <mergeCell ref="AJ559:AK559"/>
    <mergeCell ref="AL560:AO560"/>
    <mergeCell ref="AP560:AU560"/>
    <mergeCell ref="AV560:AW560"/>
    <mergeCell ref="C560:E560"/>
    <mergeCell ref="F560:H560"/>
    <mergeCell ref="I560:R560"/>
    <mergeCell ref="S560:AD560"/>
    <mergeCell ref="AE560:AF560"/>
    <mergeCell ref="AG560:AI560"/>
    <mergeCell ref="AJ560:AK560"/>
    <mergeCell ref="AL561:AO561"/>
    <mergeCell ref="AP561:AU561"/>
    <mergeCell ref="AV561:AW561"/>
    <mergeCell ref="C561:E561"/>
    <mergeCell ref="F561:H561"/>
    <mergeCell ref="I561:R561"/>
    <mergeCell ref="S561:AD561"/>
    <mergeCell ref="AE561:AF561"/>
    <mergeCell ref="AG561:AI561"/>
    <mergeCell ref="AJ561:AK561"/>
    <mergeCell ref="AL562:AO562"/>
    <mergeCell ref="AP562:AU562"/>
    <mergeCell ref="AV562:AW562"/>
    <mergeCell ref="C562:E562"/>
    <mergeCell ref="F562:H562"/>
    <mergeCell ref="I562:R562"/>
    <mergeCell ref="S562:AD562"/>
    <mergeCell ref="AE562:AF562"/>
    <mergeCell ref="AG562:AI562"/>
    <mergeCell ref="AJ562:AK562"/>
    <mergeCell ref="AL563:AO563"/>
    <mergeCell ref="AP563:AU563"/>
    <mergeCell ref="AV563:AW563"/>
    <mergeCell ref="C563:E563"/>
    <mergeCell ref="F563:H563"/>
    <mergeCell ref="I563:R563"/>
    <mergeCell ref="S563:AD563"/>
    <mergeCell ref="AE563:AF563"/>
    <mergeCell ref="AG563:AI563"/>
    <mergeCell ref="AJ563:AK563"/>
    <mergeCell ref="AL564:AO564"/>
    <mergeCell ref="AP564:AU564"/>
    <mergeCell ref="AV564:AW564"/>
    <mergeCell ref="C564:E564"/>
    <mergeCell ref="F564:H564"/>
    <mergeCell ref="I564:R564"/>
    <mergeCell ref="S564:AD564"/>
    <mergeCell ref="AE564:AF564"/>
    <mergeCell ref="AG564:AI564"/>
    <mergeCell ref="AJ564:AK564"/>
    <mergeCell ref="AL565:AO565"/>
    <mergeCell ref="AP565:AU565"/>
    <mergeCell ref="AV565:AW565"/>
    <mergeCell ref="C565:E565"/>
    <mergeCell ref="F565:H565"/>
    <mergeCell ref="I565:R565"/>
    <mergeCell ref="S565:AD565"/>
    <mergeCell ref="AE565:AF565"/>
    <mergeCell ref="AG565:AI565"/>
    <mergeCell ref="AJ565:AK565"/>
    <mergeCell ref="AL566:AO566"/>
    <mergeCell ref="AP566:AU566"/>
    <mergeCell ref="AV566:AW566"/>
    <mergeCell ref="C566:E566"/>
    <mergeCell ref="F566:H566"/>
    <mergeCell ref="I566:R566"/>
    <mergeCell ref="S566:AD566"/>
    <mergeCell ref="AE566:AF566"/>
    <mergeCell ref="AG566:AI566"/>
    <mergeCell ref="AJ566:AK566"/>
    <mergeCell ref="AL567:AO567"/>
    <mergeCell ref="AP567:AU567"/>
    <mergeCell ref="AV567:AW567"/>
    <mergeCell ref="C567:E567"/>
    <mergeCell ref="F567:H567"/>
    <mergeCell ref="I567:R567"/>
    <mergeCell ref="S567:AD567"/>
    <mergeCell ref="AE567:AF567"/>
    <mergeCell ref="AG567:AI567"/>
    <mergeCell ref="AJ567:AK567"/>
    <mergeCell ref="AL568:AO568"/>
    <mergeCell ref="AP568:AU568"/>
    <mergeCell ref="AV568:AW568"/>
    <mergeCell ref="C568:E568"/>
    <mergeCell ref="F568:H568"/>
    <mergeCell ref="I568:R568"/>
    <mergeCell ref="S568:AD568"/>
    <mergeCell ref="AE568:AF568"/>
    <mergeCell ref="AG568:AI568"/>
    <mergeCell ref="AJ568:AK568"/>
    <mergeCell ref="AL569:AO569"/>
    <mergeCell ref="AP569:AU569"/>
    <mergeCell ref="AV569:AW569"/>
    <mergeCell ref="C569:E569"/>
    <mergeCell ref="F569:H569"/>
    <mergeCell ref="I569:R569"/>
    <mergeCell ref="S569:AD569"/>
    <mergeCell ref="AE569:AF569"/>
    <mergeCell ref="AG569:AI569"/>
    <mergeCell ref="AJ569:AK569"/>
    <mergeCell ref="AL570:AO570"/>
    <mergeCell ref="AP570:AU570"/>
    <mergeCell ref="AV570:AW570"/>
    <mergeCell ref="C570:E570"/>
    <mergeCell ref="F570:H570"/>
    <mergeCell ref="I570:R570"/>
    <mergeCell ref="S570:AD570"/>
    <mergeCell ref="AE570:AF570"/>
    <mergeCell ref="AG570:AI570"/>
    <mergeCell ref="AJ570:AK570"/>
    <mergeCell ref="AL571:AO571"/>
    <mergeCell ref="AP571:AU571"/>
    <mergeCell ref="AV571:AW571"/>
    <mergeCell ref="C571:E571"/>
    <mergeCell ref="F571:H571"/>
    <mergeCell ref="I571:R571"/>
    <mergeCell ref="S571:AD571"/>
    <mergeCell ref="AE571:AF571"/>
    <mergeCell ref="AG571:AI571"/>
    <mergeCell ref="AJ571:AK571"/>
    <mergeCell ref="AL572:AO572"/>
    <mergeCell ref="AP572:AU572"/>
    <mergeCell ref="AV572:AW572"/>
    <mergeCell ref="C572:E572"/>
    <mergeCell ref="F572:H572"/>
    <mergeCell ref="I572:R572"/>
    <mergeCell ref="S572:AD572"/>
    <mergeCell ref="AE572:AF572"/>
    <mergeCell ref="AG572:AI572"/>
    <mergeCell ref="AJ572:AK572"/>
    <mergeCell ref="AL573:AO573"/>
    <mergeCell ref="AP573:AU573"/>
    <mergeCell ref="AV573:AW573"/>
    <mergeCell ref="C573:E573"/>
    <mergeCell ref="F573:H573"/>
    <mergeCell ref="I573:R573"/>
    <mergeCell ref="S573:AD573"/>
    <mergeCell ref="AE573:AF573"/>
    <mergeCell ref="AG573:AI573"/>
    <mergeCell ref="AJ573:AK573"/>
    <mergeCell ref="AL574:AO574"/>
    <mergeCell ref="AP574:AU574"/>
    <mergeCell ref="AV574:AW574"/>
    <mergeCell ref="C574:E574"/>
    <mergeCell ref="F574:H574"/>
    <mergeCell ref="I574:R574"/>
    <mergeCell ref="S574:AD574"/>
    <mergeCell ref="AE574:AF574"/>
    <mergeCell ref="AG574:AI574"/>
    <mergeCell ref="AJ574:AK574"/>
    <mergeCell ref="AL575:AO575"/>
    <mergeCell ref="AP575:AU575"/>
    <mergeCell ref="AV575:AW575"/>
    <mergeCell ref="C575:E575"/>
    <mergeCell ref="F575:H575"/>
    <mergeCell ref="I575:R575"/>
    <mergeCell ref="S575:AD575"/>
    <mergeCell ref="AE575:AF575"/>
    <mergeCell ref="AG575:AI575"/>
    <mergeCell ref="AJ575:AK575"/>
    <mergeCell ref="AL576:AO576"/>
    <mergeCell ref="AP576:AU576"/>
    <mergeCell ref="AV576:AW576"/>
    <mergeCell ref="C576:E576"/>
    <mergeCell ref="F576:H576"/>
    <mergeCell ref="I576:R576"/>
    <mergeCell ref="S576:AD576"/>
    <mergeCell ref="AE576:AF576"/>
    <mergeCell ref="AG576:AI576"/>
    <mergeCell ref="AJ576:AK576"/>
    <mergeCell ref="AL577:AO577"/>
    <mergeCell ref="AP577:AU577"/>
    <mergeCell ref="AV577:AW577"/>
    <mergeCell ref="C577:E577"/>
    <mergeCell ref="F577:H577"/>
    <mergeCell ref="I577:R577"/>
    <mergeCell ref="S577:AD577"/>
    <mergeCell ref="AE577:AF577"/>
    <mergeCell ref="AG577:AI577"/>
    <mergeCell ref="AJ577:AK577"/>
    <mergeCell ref="AL578:AO578"/>
    <mergeCell ref="AP578:AU578"/>
    <mergeCell ref="AV578:AW578"/>
    <mergeCell ref="C578:E578"/>
    <mergeCell ref="F578:H578"/>
    <mergeCell ref="I578:R578"/>
    <mergeCell ref="S578:AD578"/>
    <mergeCell ref="AE578:AF578"/>
    <mergeCell ref="AG578:AI578"/>
    <mergeCell ref="AJ578:AK578"/>
    <mergeCell ref="AL579:AO579"/>
    <mergeCell ref="AP579:AU579"/>
    <mergeCell ref="AV579:AW579"/>
    <mergeCell ref="C579:E579"/>
    <mergeCell ref="F579:H579"/>
    <mergeCell ref="I579:R579"/>
    <mergeCell ref="S579:AD579"/>
    <mergeCell ref="AE579:AF579"/>
    <mergeCell ref="AG579:AI579"/>
    <mergeCell ref="AJ579:AK579"/>
    <mergeCell ref="AL580:AO580"/>
    <mergeCell ref="AP580:AU580"/>
    <mergeCell ref="AV580:AW580"/>
    <mergeCell ref="C580:E580"/>
    <mergeCell ref="F580:H580"/>
    <mergeCell ref="I580:R580"/>
    <mergeCell ref="S580:AD580"/>
    <mergeCell ref="AE580:AF580"/>
    <mergeCell ref="AG580:AI580"/>
    <mergeCell ref="AJ580:AK580"/>
    <mergeCell ref="AL581:AO581"/>
    <mergeCell ref="AP581:AU581"/>
    <mergeCell ref="AV581:AW581"/>
    <mergeCell ref="C581:E581"/>
    <mergeCell ref="F581:H581"/>
    <mergeCell ref="I581:R581"/>
    <mergeCell ref="S581:AD581"/>
    <mergeCell ref="AE581:AF581"/>
    <mergeCell ref="AG581:AI581"/>
    <mergeCell ref="AJ581:AK581"/>
    <mergeCell ref="AL582:AO582"/>
    <mergeCell ref="AP582:AU582"/>
    <mergeCell ref="AV582:AW582"/>
    <mergeCell ref="C582:E582"/>
    <mergeCell ref="F582:H582"/>
    <mergeCell ref="I582:R582"/>
    <mergeCell ref="S582:AD582"/>
    <mergeCell ref="AE582:AF582"/>
    <mergeCell ref="AG582:AI582"/>
    <mergeCell ref="AJ582:AK582"/>
    <mergeCell ref="AL583:AO583"/>
    <mergeCell ref="AP583:AU583"/>
    <mergeCell ref="AV583:AW583"/>
    <mergeCell ref="C583:E583"/>
    <mergeCell ref="F583:H583"/>
    <mergeCell ref="I583:R583"/>
    <mergeCell ref="S583:AD583"/>
    <mergeCell ref="AE583:AF583"/>
    <mergeCell ref="AG583:AI583"/>
    <mergeCell ref="AJ583:AK583"/>
    <mergeCell ref="AL584:AO584"/>
    <mergeCell ref="AP584:AU584"/>
    <mergeCell ref="AV584:AW584"/>
    <mergeCell ref="C584:E584"/>
    <mergeCell ref="F584:H584"/>
    <mergeCell ref="I584:R584"/>
    <mergeCell ref="S584:AD584"/>
    <mergeCell ref="AE584:AF584"/>
    <mergeCell ref="AG584:AI584"/>
    <mergeCell ref="AJ584:AK584"/>
    <mergeCell ref="AL585:AO585"/>
    <mergeCell ref="AP585:AU585"/>
    <mergeCell ref="AV585:AW585"/>
    <mergeCell ref="C585:E585"/>
    <mergeCell ref="F585:H585"/>
    <mergeCell ref="I585:R585"/>
    <mergeCell ref="S585:AD585"/>
    <mergeCell ref="AE585:AF585"/>
    <mergeCell ref="AG585:AI585"/>
    <mergeCell ref="AJ585:AK585"/>
    <mergeCell ref="AL586:AO586"/>
    <mergeCell ref="AP586:AU586"/>
    <mergeCell ref="AV586:AW586"/>
    <mergeCell ref="C586:E586"/>
    <mergeCell ref="F586:H586"/>
    <mergeCell ref="I586:R586"/>
    <mergeCell ref="S586:AD586"/>
    <mergeCell ref="AE586:AF586"/>
    <mergeCell ref="AG586:AI586"/>
    <mergeCell ref="AJ586:AK586"/>
    <mergeCell ref="AL587:AO587"/>
    <mergeCell ref="AP587:AU587"/>
    <mergeCell ref="AV587:AW587"/>
    <mergeCell ref="C587:E587"/>
    <mergeCell ref="F587:H587"/>
    <mergeCell ref="I587:R587"/>
    <mergeCell ref="S587:AD587"/>
    <mergeCell ref="AE587:AF587"/>
    <mergeCell ref="AG587:AI587"/>
    <mergeCell ref="AJ587:AK587"/>
    <mergeCell ref="AL588:AO588"/>
    <mergeCell ref="AP588:AU588"/>
    <mergeCell ref="AV588:AW588"/>
    <mergeCell ref="C588:E588"/>
    <mergeCell ref="F588:H588"/>
    <mergeCell ref="I588:R588"/>
    <mergeCell ref="S588:AD588"/>
    <mergeCell ref="AE588:AF588"/>
    <mergeCell ref="AG588:AI588"/>
    <mergeCell ref="AJ588:AK588"/>
    <mergeCell ref="AL589:AO589"/>
    <mergeCell ref="AP589:AU589"/>
    <mergeCell ref="AV589:AW589"/>
    <mergeCell ref="C589:E589"/>
    <mergeCell ref="F589:H589"/>
    <mergeCell ref="I589:R589"/>
    <mergeCell ref="S589:AD589"/>
    <mergeCell ref="AE589:AF589"/>
    <mergeCell ref="AG589:AI589"/>
    <mergeCell ref="AJ589:AK589"/>
    <mergeCell ref="AL590:AO590"/>
    <mergeCell ref="AP590:AU590"/>
    <mergeCell ref="AV590:AW590"/>
    <mergeCell ref="C590:E590"/>
    <mergeCell ref="F590:H590"/>
    <mergeCell ref="I590:R590"/>
    <mergeCell ref="S590:AD590"/>
    <mergeCell ref="AE590:AF590"/>
    <mergeCell ref="AG590:AI590"/>
    <mergeCell ref="AJ590:AK590"/>
    <mergeCell ref="AL591:AO591"/>
    <mergeCell ref="AP591:AU591"/>
    <mergeCell ref="AV591:AW591"/>
    <mergeCell ref="C591:E591"/>
    <mergeCell ref="F591:H591"/>
    <mergeCell ref="I591:R591"/>
    <mergeCell ref="S591:AD591"/>
    <mergeCell ref="AE591:AF591"/>
    <mergeCell ref="AG591:AI591"/>
    <mergeCell ref="AJ591:AK591"/>
    <mergeCell ref="AL592:AO592"/>
    <mergeCell ref="AP592:AU592"/>
    <mergeCell ref="AV592:AW592"/>
    <mergeCell ref="C592:E592"/>
    <mergeCell ref="F592:H592"/>
    <mergeCell ref="I592:R592"/>
    <mergeCell ref="S592:AD592"/>
    <mergeCell ref="AE592:AF592"/>
    <mergeCell ref="AG592:AI592"/>
    <mergeCell ref="AJ592:AK592"/>
    <mergeCell ref="AL642:AO642"/>
    <mergeCell ref="AP642:AU642"/>
    <mergeCell ref="AV642:AW642"/>
    <mergeCell ref="C642:E642"/>
    <mergeCell ref="F642:H642"/>
    <mergeCell ref="I642:R642"/>
    <mergeCell ref="S642:AD642"/>
    <mergeCell ref="AE642:AF642"/>
    <mergeCell ref="AG642:AI642"/>
    <mergeCell ref="AJ642:AK642"/>
    <mergeCell ref="AL643:AO643"/>
    <mergeCell ref="AP643:AU643"/>
    <mergeCell ref="AV643:AW643"/>
    <mergeCell ref="C643:E643"/>
    <mergeCell ref="F643:H643"/>
    <mergeCell ref="I643:R643"/>
    <mergeCell ref="S643:AD643"/>
    <mergeCell ref="AE643:AF643"/>
    <mergeCell ref="AG643:AI643"/>
    <mergeCell ref="AJ643:AK643"/>
    <mergeCell ref="AL644:AO644"/>
    <mergeCell ref="AP644:AU644"/>
    <mergeCell ref="AV644:AW644"/>
    <mergeCell ref="C644:E644"/>
    <mergeCell ref="F644:H644"/>
    <mergeCell ref="I644:R644"/>
    <mergeCell ref="S644:AD644"/>
    <mergeCell ref="AE644:AF644"/>
    <mergeCell ref="AG644:AI644"/>
    <mergeCell ref="AJ644:AK644"/>
    <mergeCell ref="AL645:AO645"/>
    <mergeCell ref="AP645:AU645"/>
    <mergeCell ref="AV645:AW645"/>
    <mergeCell ref="C645:E645"/>
    <mergeCell ref="F645:H645"/>
    <mergeCell ref="I645:R645"/>
    <mergeCell ref="S645:AD645"/>
    <mergeCell ref="AE645:AF645"/>
    <mergeCell ref="AG645:AI645"/>
    <mergeCell ref="AJ645:AK645"/>
    <mergeCell ref="AL646:AO646"/>
    <mergeCell ref="AP646:AU646"/>
    <mergeCell ref="AV646:AW646"/>
    <mergeCell ref="C646:E646"/>
    <mergeCell ref="F646:H646"/>
    <mergeCell ref="I646:R646"/>
    <mergeCell ref="S646:AD646"/>
    <mergeCell ref="AE646:AF646"/>
    <mergeCell ref="AG646:AI646"/>
    <mergeCell ref="AJ646:AK646"/>
    <mergeCell ref="AL647:AO647"/>
    <mergeCell ref="AP647:AU647"/>
    <mergeCell ref="AV647:AW647"/>
    <mergeCell ref="C647:E647"/>
    <mergeCell ref="F647:H647"/>
    <mergeCell ref="I647:R647"/>
    <mergeCell ref="S647:AD647"/>
    <mergeCell ref="AE647:AF647"/>
    <mergeCell ref="AG647:AI647"/>
    <mergeCell ref="AJ647:AK647"/>
    <mergeCell ref="AL648:AO648"/>
    <mergeCell ref="AP648:AU648"/>
    <mergeCell ref="AV648:AW648"/>
    <mergeCell ref="C648:E648"/>
    <mergeCell ref="F648:H648"/>
    <mergeCell ref="I648:R648"/>
    <mergeCell ref="S648:AD648"/>
    <mergeCell ref="AE648:AF648"/>
    <mergeCell ref="AG648:AI648"/>
    <mergeCell ref="AJ648:AK648"/>
    <mergeCell ref="AL649:AO649"/>
    <mergeCell ref="AP649:AU649"/>
    <mergeCell ref="AV649:AW649"/>
    <mergeCell ref="C649:E649"/>
    <mergeCell ref="F649:H649"/>
    <mergeCell ref="I649:R649"/>
    <mergeCell ref="S649:AD649"/>
    <mergeCell ref="AE649:AF649"/>
    <mergeCell ref="AG649:AI649"/>
    <mergeCell ref="AJ649:AK649"/>
    <mergeCell ref="AL650:AO650"/>
    <mergeCell ref="AP650:AU650"/>
    <mergeCell ref="AV650:AW650"/>
    <mergeCell ref="C650:E650"/>
    <mergeCell ref="F650:H650"/>
    <mergeCell ref="I650:R650"/>
    <mergeCell ref="S650:AD650"/>
    <mergeCell ref="AE650:AF650"/>
    <mergeCell ref="AG650:AI650"/>
    <mergeCell ref="AJ650:AK650"/>
    <mergeCell ref="AL651:AO651"/>
    <mergeCell ref="AP651:AU651"/>
    <mergeCell ref="AV651:AW651"/>
    <mergeCell ref="C651:E651"/>
    <mergeCell ref="F651:H651"/>
    <mergeCell ref="I651:R651"/>
    <mergeCell ref="S651:AD651"/>
    <mergeCell ref="AE651:AF651"/>
    <mergeCell ref="AG651:AI651"/>
    <mergeCell ref="AJ651:AK651"/>
    <mergeCell ref="AL652:AO652"/>
    <mergeCell ref="AP652:AU652"/>
    <mergeCell ref="AV652:AW652"/>
    <mergeCell ref="C652:E652"/>
    <mergeCell ref="F652:H652"/>
    <mergeCell ref="I652:R652"/>
    <mergeCell ref="S652:AD652"/>
    <mergeCell ref="AE652:AF652"/>
    <mergeCell ref="AG652:AI652"/>
    <mergeCell ref="AJ652:AK652"/>
    <mergeCell ref="AL653:AO653"/>
    <mergeCell ref="AP653:AU653"/>
    <mergeCell ref="AV653:AW653"/>
    <mergeCell ref="C653:E653"/>
    <mergeCell ref="F653:H653"/>
    <mergeCell ref="I653:R653"/>
    <mergeCell ref="S653:AD653"/>
    <mergeCell ref="AE653:AF653"/>
    <mergeCell ref="AG653:AI653"/>
    <mergeCell ref="AJ653:AK653"/>
    <mergeCell ref="AL654:AO654"/>
    <mergeCell ref="AP654:AU654"/>
    <mergeCell ref="AV654:AW654"/>
    <mergeCell ref="C654:E654"/>
    <mergeCell ref="F654:H654"/>
    <mergeCell ref="I654:R654"/>
    <mergeCell ref="S654:AD654"/>
    <mergeCell ref="AE654:AF654"/>
    <mergeCell ref="AG654:AI654"/>
    <mergeCell ref="AJ654:AK654"/>
    <mergeCell ref="AL655:AO655"/>
    <mergeCell ref="AP655:AU655"/>
    <mergeCell ref="AV655:AW655"/>
    <mergeCell ref="C655:E655"/>
    <mergeCell ref="F655:H655"/>
    <mergeCell ref="I655:R655"/>
    <mergeCell ref="S655:AD655"/>
    <mergeCell ref="AE655:AF655"/>
    <mergeCell ref="AG655:AI655"/>
    <mergeCell ref="AJ655:AK655"/>
    <mergeCell ref="AL656:AO656"/>
    <mergeCell ref="AP656:AU656"/>
    <mergeCell ref="AV656:AW656"/>
    <mergeCell ref="C656:E656"/>
    <mergeCell ref="F656:H656"/>
    <mergeCell ref="I656:R656"/>
    <mergeCell ref="S656:AD656"/>
    <mergeCell ref="AE656:AF656"/>
    <mergeCell ref="AG656:AI656"/>
    <mergeCell ref="AJ656:AK656"/>
    <mergeCell ref="AL657:AO657"/>
    <mergeCell ref="AP657:AU657"/>
    <mergeCell ref="AV657:AW657"/>
    <mergeCell ref="C657:E657"/>
    <mergeCell ref="F657:H657"/>
    <mergeCell ref="I657:R657"/>
    <mergeCell ref="S657:AD657"/>
    <mergeCell ref="AE657:AF657"/>
    <mergeCell ref="AG657:AI657"/>
    <mergeCell ref="AJ657:AK657"/>
    <mergeCell ref="AL658:AO658"/>
    <mergeCell ref="AP658:AU658"/>
    <mergeCell ref="AV658:AW658"/>
    <mergeCell ref="C658:E658"/>
    <mergeCell ref="F658:H658"/>
    <mergeCell ref="I658:R658"/>
    <mergeCell ref="S658:AD658"/>
    <mergeCell ref="AE658:AF658"/>
    <mergeCell ref="AG658:AI658"/>
    <mergeCell ref="AJ658:AK658"/>
    <mergeCell ref="AL659:AO659"/>
    <mergeCell ref="AP659:AU659"/>
    <mergeCell ref="AV659:AW659"/>
    <mergeCell ref="C659:E659"/>
    <mergeCell ref="F659:H659"/>
    <mergeCell ref="I659:R659"/>
    <mergeCell ref="S659:AD659"/>
    <mergeCell ref="AE659:AF659"/>
    <mergeCell ref="AG659:AI659"/>
    <mergeCell ref="AJ659:AK659"/>
    <mergeCell ref="AL660:AO660"/>
    <mergeCell ref="AP660:AU660"/>
    <mergeCell ref="AV660:AW660"/>
    <mergeCell ref="C660:E660"/>
    <mergeCell ref="F660:H660"/>
    <mergeCell ref="I660:R660"/>
    <mergeCell ref="S660:AD660"/>
    <mergeCell ref="AE660:AF660"/>
    <mergeCell ref="AG660:AI660"/>
    <mergeCell ref="AJ660:AK660"/>
    <mergeCell ref="AL661:AO661"/>
    <mergeCell ref="AP661:AU661"/>
    <mergeCell ref="AV661:AW661"/>
    <mergeCell ref="C661:E661"/>
    <mergeCell ref="F661:H661"/>
    <mergeCell ref="I661:R661"/>
    <mergeCell ref="S661:AD661"/>
    <mergeCell ref="AE661:AF661"/>
    <mergeCell ref="AG661:AI661"/>
    <mergeCell ref="AJ661:AK661"/>
    <mergeCell ref="AL662:AO662"/>
    <mergeCell ref="AP662:AU662"/>
    <mergeCell ref="AV662:AW662"/>
    <mergeCell ref="C662:E662"/>
    <mergeCell ref="F662:H662"/>
    <mergeCell ref="I662:R662"/>
    <mergeCell ref="S662:AD662"/>
    <mergeCell ref="AE662:AF662"/>
    <mergeCell ref="AG662:AI662"/>
    <mergeCell ref="AJ662:AK662"/>
    <mergeCell ref="AL663:AO663"/>
    <mergeCell ref="AP663:AU663"/>
    <mergeCell ref="AV663:AW663"/>
    <mergeCell ref="C663:E663"/>
    <mergeCell ref="F663:H663"/>
    <mergeCell ref="I663:R663"/>
    <mergeCell ref="S663:AD663"/>
    <mergeCell ref="AE663:AF663"/>
    <mergeCell ref="AG663:AI663"/>
    <mergeCell ref="AJ663:AK663"/>
    <mergeCell ref="AL664:AO664"/>
    <mergeCell ref="AP664:AU664"/>
    <mergeCell ref="AV664:AW664"/>
    <mergeCell ref="C664:E664"/>
    <mergeCell ref="F664:H664"/>
    <mergeCell ref="I664:R664"/>
    <mergeCell ref="S664:AD664"/>
    <mergeCell ref="AE664:AF664"/>
    <mergeCell ref="AG664:AI664"/>
    <mergeCell ref="AJ664:AK664"/>
    <mergeCell ref="AL665:AO665"/>
    <mergeCell ref="AP665:AU665"/>
    <mergeCell ref="AV665:AW665"/>
    <mergeCell ref="C665:E665"/>
    <mergeCell ref="F665:H665"/>
    <mergeCell ref="I665:R665"/>
    <mergeCell ref="S665:AD665"/>
    <mergeCell ref="AE665:AF665"/>
    <mergeCell ref="AG665:AI665"/>
    <mergeCell ref="AJ665:AK665"/>
    <mergeCell ref="AL666:AO666"/>
    <mergeCell ref="AP666:AU666"/>
    <mergeCell ref="AV666:AW666"/>
    <mergeCell ref="C666:E666"/>
    <mergeCell ref="F666:H666"/>
    <mergeCell ref="I666:R666"/>
    <mergeCell ref="S666:AD666"/>
    <mergeCell ref="AE666:AF666"/>
    <mergeCell ref="AG666:AI666"/>
    <mergeCell ref="AJ666:AK666"/>
    <mergeCell ref="AL667:AO667"/>
    <mergeCell ref="AP667:AU667"/>
    <mergeCell ref="AV667:AW667"/>
    <mergeCell ref="C667:E667"/>
    <mergeCell ref="F667:H667"/>
    <mergeCell ref="I667:R667"/>
    <mergeCell ref="S667:AD667"/>
    <mergeCell ref="AE667:AF667"/>
    <mergeCell ref="AG667:AI667"/>
    <mergeCell ref="AJ667:AK667"/>
    <mergeCell ref="AL668:AO668"/>
    <mergeCell ref="AP668:AU668"/>
    <mergeCell ref="AV668:AW668"/>
    <mergeCell ref="C668:E668"/>
    <mergeCell ref="F668:H668"/>
    <mergeCell ref="I668:R668"/>
    <mergeCell ref="S668:AD668"/>
    <mergeCell ref="AE668:AF668"/>
    <mergeCell ref="AG668:AI668"/>
    <mergeCell ref="AJ668:AK668"/>
    <mergeCell ref="AL669:AO669"/>
    <mergeCell ref="AP669:AU669"/>
    <mergeCell ref="AV669:AW669"/>
    <mergeCell ref="C669:E669"/>
    <mergeCell ref="F669:H669"/>
    <mergeCell ref="I669:R669"/>
    <mergeCell ref="S669:AD669"/>
    <mergeCell ref="AE669:AF669"/>
    <mergeCell ref="AG669:AI669"/>
    <mergeCell ref="AJ669:AK669"/>
    <mergeCell ref="AL677:AO677"/>
    <mergeCell ref="AP677:AU677"/>
    <mergeCell ref="AV677:AW677"/>
    <mergeCell ref="C677:E677"/>
    <mergeCell ref="F677:H677"/>
    <mergeCell ref="I677:R677"/>
    <mergeCell ref="S677:AD677"/>
    <mergeCell ref="AE677:AF677"/>
    <mergeCell ref="AG677:AI677"/>
    <mergeCell ref="AJ677:AK677"/>
    <mergeCell ref="AL678:AO678"/>
    <mergeCell ref="AP678:AU678"/>
    <mergeCell ref="AV678:AW678"/>
    <mergeCell ref="C678:E678"/>
    <mergeCell ref="F678:H678"/>
    <mergeCell ref="I678:R678"/>
    <mergeCell ref="S678:AD678"/>
    <mergeCell ref="AE678:AF678"/>
    <mergeCell ref="AG678:AI678"/>
    <mergeCell ref="AJ678:AK678"/>
    <mergeCell ref="AL679:AO679"/>
    <mergeCell ref="AP679:AU679"/>
    <mergeCell ref="AV679:AW679"/>
    <mergeCell ref="C679:E679"/>
    <mergeCell ref="F679:H679"/>
    <mergeCell ref="I679:R679"/>
    <mergeCell ref="S679:AD679"/>
    <mergeCell ref="AE679:AF679"/>
    <mergeCell ref="AG679:AI679"/>
    <mergeCell ref="AJ679:AK679"/>
    <mergeCell ref="AL680:AO680"/>
    <mergeCell ref="AP680:AU680"/>
    <mergeCell ref="AV680:AW680"/>
    <mergeCell ref="C680:E680"/>
    <mergeCell ref="F680:H680"/>
    <mergeCell ref="I680:R680"/>
    <mergeCell ref="S680:AD680"/>
    <mergeCell ref="AE680:AF680"/>
    <mergeCell ref="AG680:AI680"/>
    <mergeCell ref="AJ680:AK680"/>
    <mergeCell ref="AL681:AO681"/>
    <mergeCell ref="AP681:AU681"/>
    <mergeCell ref="AV681:AW681"/>
    <mergeCell ref="C681:E681"/>
    <mergeCell ref="F681:H681"/>
    <mergeCell ref="I681:R681"/>
    <mergeCell ref="S681:AD681"/>
    <mergeCell ref="AE681:AF681"/>
    <mergeCell ref="AG681:AI681"/>
    <mergeCell ref="AJ681:AK681"/>
    <mergeCell ref="AL2:AO2"/>
    <mergeCell ref="AP2:AU2"/>
    <mergeCell ref="AV2:AW2"/>
    <mergeCell ref="C2:E2"/>
    <mergeCell ref="F2:H2"/>
    <mergeCell ref="I2:R2"/>
    <mergeCell ref="S2:AD2"/>
    <mergeCell ref="AE2:AF2"/>
    <mergeCell ref="AG2:AI2"/>
    <mergeCell ref="AJ2:AK2"/>
    <mergeCell ref="AL3:AO3"/>
    <mergeCell ref="AP3:AU3"/>
    <mergeCell ref="AV3:AW3"/>
    <mergeCell ref="C3:E3"/>
    <mergeCell ref="F3:H3"/>
    <mergeCell ref="I3:R3"/>
    <mergeCell ref="S3:AD3"/>
    <mergeCell ref="AE3:AF3"/>
    <mergeCell ref="AG3:AI3"/>
    <mergeCell ref="AJ3:AK3"/>
    <mergeCell ref="AL4:AO4"/>
    <mergeCell ref="AP4:AU4"/>
    <mergeCell ref="AV4:AW4"/>
    <mergeCell ref="C4:E4"/>
    <mergeCell ref="F4:H4"/>
    <mergeCell ref="I4:R4"/>
    <mergeCell ref="S4:AD4"/>
    <mergeCell ref="AE4:AF4"/>
    <mergeCell ref="AG4:AI4"/>
    <mergeCell ref="AJ4:AK4"/>
    <mergeCell ref="AL682:AO682"/>
    <mergeCell ref="AP682:AU682"/>
    <mergeCell ref="AV682:AW682"/>
    <mergeCell ref="C682:E682"/>
    <mergeCell ref="F682:H682"/>
    <mergeCell ref="I682:R682"/>
    <mergeCell ref="S682:AD682"/>
    <mergeCell ref="AE682:AF682"/>
    <mergeCell ref="AG682:AI682"/>
    <mergeCell ref="AJ682:AK682"/>
    <mergeCell ref="AL670:AO670"/>
    <mergeCell ref="AP670:AU670"/>
    <mergeCell ref="AV670:AW670"/>
    <mergeCell ref="C670:E670"/>
    <mergeCell ref="F670:H670"/>
    <mergeCell ref="I670:R670"/>
    <mergeCell ref="S670:AD670"/>
    <mergeCell ref="AE670:AF670"/>
    <mergeCell ref="AG670:AI670"/>
    <mergeCell ref="AJ670:AK670"/>
    <mergeCell ref="AL671:AO671"/>
    <mergeCell ref="AP671:AU671"/>
    <mergeCell ref="AV671:AW671"/>
    <mergeCell ref="C671:E671"/>
    <mergeCell ref="F671:H671"/>
    <mergeCell ref="I671:R671"/>
    <mergeCell ref="S671:AD671"/>
    <mergeCell ref="AE671:AF671"/>
    <mergeCell ref="AG671:AI671"/>
    <mergeCell ref="AJ671:AK671"/>
    <mergeCell ref="AL672:AO672"/>
    <mergeCell ref="AP672:AU672"/>
    <mergeCell ref="AV672:AW672"/>
    <mergeCell ref="C672:E672"/>
    <mergeCell ref="F672:H672"/>
    <mergeCell ref="I672:R672"/>
    <mergeCell ref="S672:AD672"/>
    <mergeCell ref="AE672:AF672"/>
    <mergeCell ref="AG672:AI672"/>
    <mergeCell ref="AJ672:AK672"/>
    <mergeCell ref="AL673:AO673"/>
    <mergeCell ref="AP673:AU673"/>
    <mergeCell ref="AV673:AW673"/>
    <mergeCell ref="C673:E673"/>
    <mergeCell ref="F673:H673"/>
    <mergeCell ref="I673:R673"/>
    <mergeCell ref="S673:AD673"/>
    <mergeCell ref="AE673:AF673"/>
    <mergeCell ref="AG673:AI673"/>
    <mergeCell ref="AJ673:AK673"/>
    <mergeCell ref="AL674:AO674"/>
    <mergeCell ref="AP674:AU674"/>
    <mergeCell ref="AV674:AW674"/>
    <mergeCell ref="C674:E674"/>
    <mergeCell ref="F674:H674"/>
    <mergeCell ref="I674:R674"/>
    <mergeCell ref="S674:AD674"/>
    <mergeCell ref="AE674:AF674"/>
    <mergeCell ref="AG674:AI674"/>
    <mergeCell ref="AJ674:AK674"/>
    <mergeCell ref="AL675:AO675"/>
    <mergeCell ref="AP675:AU675"/>
    <mergeCell ref="AV675:AW675"/>
    <mergeCell ref="C675:E675"/>
    <mergeCell ref="F675:H675"/>
    <mergeCell ref="I675:R675"/>
    <mergeCell ref="S675:AD675"/>
    <mergeCell ref="AE675:AF675"/>
    <mergeCell ref="AG675:AI675"/>
    <mergeCell ref="AJ675:AK675"/>
    <mergeCell ref="AL676:AO676"/>
    <mergeCell ref="AP676:AU676"/>
    <mergeCell ref="AV676:AW676"/>
    <mergeCell ref="C676:E676"/>
    <mergeCell ref="F676:H676"/>
    <mergeCell ref="I676:R676"/>
    <mergeCell ref="S676:AD676"/>
    <mergeCell ref="AE676:AF676"/>
    <mergeCell ref="AG676:AI676"/>
    <mergeCell ref="AJ676:AK676"/>
    <mergeCell ref="AL593:AO593"/>
    <mergeCell ref="AP593:AU593"/>
    <mergeCell ref="AV593:AW593"/>
    <mergeCell ref="C593:E593"/>
    <mergeCell ref="F593:H593"/>
    <mergeCell ref="I593:R593"/>
    <mergeCell ref="S593:AD593"/>
    <mergeCell ref="AE593:AF593"/>
    <mergeCell ref="AG593:AI593"/>
    <mergeCell ref="AJ593:AK593"/>
    <mergeCell ref="AL594:AO594"/>
    <mergeCell ref="AP594:AU594"/>
    <mergeCell ref="AV594:AW594"/>
    <mergeCell ref="C594:E594"/>
    <mergeCell ref="F594:H594"/>
    <mergeCell ref="I594:R594"/>
    <mergeCell ref="S594:AD594"/>
    <mergeCell ref="AE594:AF594"/>
    <mergeCell ref="AG594:AI594"/>
    <mergeCell ref="AJ594:AK594"/>
    <mergeCell ref="AL595:AO595"/>
    <mergeCell ref="AP595:AU595"/>
    <mergeCell ref="AV595:AW595"/>
    <mergeCell ref="C595:E595"/>
    <mergeCell ref="F595:H595"/>
    <mergeCell ref="I595:R595"/>
    <mergeCell ref="S595:AD595"/>
    <mergeCell ref="AE595:AF595"/>
    <mergeCell ref="AG595:AI595"/>
    <mergeCell ref="AJ595:AK595"/>
    <mergeCell ref="AL596:AO596"/>
    <mergeCell ref="AP596:AU596"/>
    <mergeCell ref="AV596:AW596"/>
    <mergeCell ref="C596:E596"/>
    <mergeCell ref="F596:H596"/>
    <mergeCell ref="I596:R596"/>
    <mergeCell ref="S596:AD596"/>
    <mergeCell ref="AE596:AF596"/>
    <mergeCell ref="AG596:AI596"/>
    <mergeCell ref="AJ596:AK596"/>
    <mergeCell ref="AL597:AO597"/>
    <mergeCell ref="AP597:AU597"/>
    <mergeCell ref="AV597:AW597"/>
    <mergeCell ref="C597:E597"/>
    <mergeCell ref="F597:H597"/>
    <mergeCell ref="I597:R597"/>
    <mergeCell ref="S597:AD597"/>
    <mergeCell ref="AE597:AF597"/>
    <mergeCell ref="AG597:AI597"/>
    <mergeCell ref="AJ597:AK597"/>
    <mergeCell ref="AL598:AO598"/>
    <mergeCell ref="AP598:AU598"/>
    <mergeCell ref="AV598:AW598"/>
    <mergeCell ref="C598:E598"/>
    <mergeCell ref="F598:H598"/>
    <mergeCell ref="I598:R598"/>
    <mergeCell ref="S598:AD598"/>
    <mergeCell ref="AE598:AF598"/>
    <mergeCell ref="AG598:AI598"/>
    <mergeCell ref="AJ598:AK598"/>
    <mergeCell ref="AL599:AO599"/>
    <mergeCell ref="AP599:AU599"/>
    <mergeCell ref="AV599:AW599"/>
    <mergeCell ref="C599:E599"/>
    <mergeCell ref="F599:H599"/>
    <mergeCell ref="I599:R599"/>
    <mergeCell ref="S599:AD599"/>
    <mergeCell ref="AE599:AF599"/>
    <mergeCell ref="AG599:AI599"/>
    <mergeCell ref="AJ599:AK599"/>
    <mergeCell ref="AL600:AO600"/>
    <mergeCell ref="AP600:AU600"/>
    <mergeCell ref="AV600:AW600"/>
    <mergeCell ref="C600:E600"/>
    <mergeCell ref="F600:H600"/>
    <mergeCell ref="I600:R600"/>
    <mergeCell ref="S600:AD600"/>
    <mergeCell ref="AE600:AF600"/>
    <mergeCell ref="AG600:AI600"/>
    <mergeCell ref="AJ600:AK600"/>
    <mergeCell ref="AL601:AO601"/>
    <mergeCell ref="AP601:AU601"/>
    <mergeCell ref="AV601:AW601"/>
    <mergeCell ref="C601:E601"/>
    <mergeCell ref="F601:H601"/>
    <mergeCell ref="I601:R601"/>
    <mergeCell ref="S601:AD601"/>
    <mergeCell ref="AE601:AF601"/>
    <mergeCell ref="AG601:AI601"/>
    <mergeCell ref="AJ601:AK601"/>
    <mergeCell ref="AL602:AO602"/>
    <mergeCell ref="AP602:AU602"/>
    <mergeCell ref="AV602:AW602"/>
    <mergeCell ref="C602:E602"/>
    <mergeCell ref="F602:H602"/>
    <mergeCell ref="I602:R602"/>
    <mergeCell ref="S602:AD602"/>
    <mergeCell ref="AE602:AF602"/>
    <mergeCell ref="AG602:AI602"/>
    <mergeCell ref="AJ602:AK602"/>
    <mergeCell ref="AL603:AO603"/>
    <mergeCell ref="AP603:AU603"/>
    <mergeCell ref="AV603:AW603"/>
    <mergeCell ref="C603:E603"/>
    <mergeCell ref="F603:H603"/>
    <mergeCell ref="I603:R603"/>
    <mergeCell ref="S603:AD603"/>
    <mergeCell ref="AE603:AF603"/>
    <mergeCell ref="AG603:AI603"/>
    <mergeCell ref="AJ603:AK603"/>
    <mergeCell ref="AL604:AO604"/>
    <mergeCell ref="AP604:AU604"/>
    <mergeCell ref="AV604:AW604"/>
    <mergeCell ref="C604:E604"/>
    <mergeCell ref="F604:H604"/>
    <mergeCell ref="I604:R604"/>
    <mergeCell ref="S604:AD604"/>
    <mergeCell ref="AE604:AF604"/>
    <mergeCell ref="AG604:AI604"/>
    <mergeCell ref="AJ604:AK604"/>
    <mergeCell ref="AL605:AO605"/>
    <mergeCell ref="AP605:AU605"/>
    <mergeCell ref="AV605:AW605"/>
    <mergeCell ref="C605:E605"/>
    <mergeCell ref="F605:H605"/>
    <mergeCell ref="I605:R605"/>
    <mergeCell ref="S605:AD605"/>
    <mergeCell ref="AE605:AF605"/>
    <mergeCell ref="AG605:AI605"/>
    <mergeCell ref="AJ605:AK605"/>
    <mergeCell ref="AL606:AO606"/>
    <mergeCell ref="AP606:AU606"/>
    <mergeCell ref="AV606:AW606"/>
    <mergeCell ref="C606:E606"/>
    <mergeCell ref="F606:H606"/>
    <mergeCell ref="I606:R606"/>
    <mergeCell ref="S606:AD606"/>
    <mergeCell ref="AE606:AF606"/>
    <mergeCell ref="AG606:AI606"/>
    <mergeCell ref="AJ606:AK606"/>
    <mergeCell ref="AL607:AO607"/>
    <mergeCell ref="AP607:AU607"/>
    <mergeCell ref="AV607:AW607"/>
    <mergeCell ref="C607:E607"/>
    <mergeCell ref="F607:H607"/>
    <mergeCell ref="I607:R607"/>
    <mergeCell ref="S607:AD607"/>
    <mergeCell ref="AE607:AF607"/>
    <mergeCell ref="AG607:AI607"/>
    <mergeCell ref="AJ607:AK607"/>
    <mergeCell ref="AL608:AO608"/>
    <mergeCell ref="AP608:AU608"/>
    <mergeCell ref="AV608:AW608"/>
    <mergeCell ref="C608:E608"/>
    <mergeCell ref="F608:H608"/>
    <mergeCell ref="I608:R608"/>
    <mergeCell ref="S608:AD608"/>
    <mergeCell ref="AE608:AF608"/>
    <mergeCell ref="AG608:AI608"/>
    <mergeCell ref="AJ608:AK608"/>
    <mergeCell ref="AL609:AO609"/>
    <mergeCell ref="AP609:AU609"/>
    <mergeCell ref="AV609:AW609"/>
    <mergeCell ref="C609:E609"/>
    <mergeCell ref="F609:H609"/>
    <mergeCell ref="I609:R609"/>
    <mergeCell ref="S609:AD609"/>
    <mergeCell ref="AE609:AF609"/>
    <mergeCell ref="AG609:AI609"/>
    <mergeCell ref="AJ609:AK609"/>
    <mergeCell ref="AL610:AO610"/>
    <mergeCell ref="AP610:AU610"/>
    <mergeCell ref="AV610:AW610"/>
    <mergeCell ref="C610:E610"/>
    <mergeCell ref="F610:H610"/>
    <mergeCell ref="I610:R610"/>
    <mergeCell ref="S610:AD610"/>
    <mergeCell ref="AE610:AF610"/>
    <mergeCell ref="AG610:AI610"/>
    <mergeCell ref="AJ610:AK610"/>
    <mergeCell ref="AL611:AO611"/>
    <mergeCell ref="AP611:AU611"/>
    <mergeCell ref="AV611:AW611"/>
    <mergeCell ref="C611:E611"/>
    <mergeCell ref="F611:H611"/>
    <mergeCell ref="I611:R611"/>
    <mergeCell ref="S611:AD611"/>
    <mergeCell ref="AE611:AF611"/>
    <mergeCell ref="AG611:AI611"/>
    <mergeCell ref="AJ611:AK611"/>
    <mergeCell ref="AL612:AO612"/>
    <mergeCell ref="AP612:AU612"/>
    <mergeCell ref="AV612:AW612"/>
    <mergeCell ref="C612:E612"/>
    <mergeCell ref="F612:H612"/>
    <mergeCell ref="I612:R612"/>
    <mergeCell ref="S612:AD612"/>
    <mergeCell ref="AE612:AF612"/>
    <mergeCell ref="AG612:AI612"/>
    <mergeCell ref="AJ612:AK612"/>
    <mergeCell ref="AL613:AO613"/>
    <mergeCell ref="AP613:AU613"/>
    <mergeCell ref="AV613:AW613"/>
    <mergeCell ref="C613:E613"/>
    <mergeCell ref="F613:H613"/>
    <mergeCell ref="I613:R613"/>
    <mergeCell ref="S613:AD613"/>
    <mergeCell ref="AE613:AF613"/>
    <mergeCell ref="AG613:AI613"/>
    <mergeCell ref="AJ613:AK613"/>
    <mergeCell ref="AL614:AO614"/>
    <mergeCell ref="AP614:AU614"/>
    <mergeCell ref="AV614:AW614"/>
    <mergeCell ref="C614:E614"/>
    <mergeCell ref="F614:H614"/>
    <mergeCell ref="I614:R614"/>
    <mergeCell ref="S614:AD614"/>
    <mergeCell ref="AE614:AF614"/>
    <mergeCell ref="AG614:AI614"/>
    <mergeCell ref="AJ614:AK614"/>
    <mergeCell ref="AL615:AO615"/>
    <mergeCell ref="AP615:AU615"/>
    <mergeCell ref="AV615:AW615"/>
    <mergeCell ref="C615:E615"/>
    <mergeCell ref="F615:H615"/>
    <mergeCell ref="I615:R615"/>
    <mergeCell ref="S615:AD615"/>
    <mergeCell ref="AE615:AF615"/>
    <mergeCell ref="AG615:AI615"/>
    <mergeCell ref="AJ615:AK615"/>
    <mergeCell ref="AL616:AO616"/>
    <mergeCell ref="AP616:AU616"/>
    <mergeCell ref="AV616:AW616"/>
    <mergeCell ref="C616:E616"/>
    <mergeCell ref="F616:H616"/>
    <mergeCell ref="I616:R616"/>
    <mergeCell ref="S616:AD616"/>
    <mergeCell ref="AE616:AF616"/>
    <mergeCell ref="AG616:AI616"/>
    <mergeCell ref="AJ616:AK616"/>
    <mergeCell ref="AL617:AO617"/>
    <mergeCell ref="AP617:AU617"/>
    <mergeCell ref="AV617:AW617"/>
    <mergeCell ref="C617:E617"/>
    <mergeCell ref="F617:H617"/>
    <mergeCell ref="I617:R617"/>
    <mergeCell ref="S617:AD617"/>
    <mergeCell ref="AE617:AF617"/>
    <mergeCell ref="AG617:AI617"/>
    <mergeCell ref="AJ617:AK617"/>
    <mergeCell ref="AL618:AO618"/>
    <mergeCell ref="AP618:AU618"/>
    <mergeCell ref="AV618:AW618"/>
    <mergeCell ref="C618:E618"/>
    <mergeCell ref="F618:H618"/>
    <mergeCell ref="I618:R618"/>
    <mergeCell ref="S618:AD618"/>
    <mergeCell ref="AE618:AF618"/>
    <mergeCell ref="AG618:AI618"/>
    <mergeCell ref="AJ618:AK618"/>
    <mergeCell ref="AL619:AO619"/>
    <mergeCell ref="AP619:AU619"/>
    <mergeCell ref="AV619:AW619"/>
    <mergeCell ref="C619:E619"/>
    <mergeCell ref="F619:H619"/>
    <mergeCell ref="I619:R619"/>
    <mergeCell ref="S619:AD619"/>
    <mergeCell ref="AE619:AF619"/>
    <mergeCell ref="AG619:AI619"/>
    <mergeCell ref="AJ619:AK619"/>
    <mergeCell ref="AL620:AO620"/>
    <mergeCell ref="AP620:AU620"/>
    <mergeCell ref="AV620:AW620"/>
    <mergeCell ref="C620:E620"/>
    <mergeCell ref="F620:H620"/>
    <mergeCell ref="I620:R620"/>
    <mergeCell ref="S620:AD620"/>
    <mergeCell ref="AE620:AF620"/>
    <mergeCell ref="AG620:AI620"/>
    <mergeCell ref="AJ620:AK620"/>
    <mergeCell ref="AL621:AO621"/>
    <mergeCell ref="AP621:AU621"/>
    <mergeCell ref="AV621:AW621"/>
    <mergeCell ref="C621:E621"/>
    <mergeCell ref="F621:H621"/>
    <mergeCell ref="I621:R621"/>
    <mergeCell ref="S621:AD621"/>
    <mergeCell ref="AE621:AF621"/>
    <mergeCell ref="AG621:AI621"/>
    <mergeCell ref="AJ621:AK621"/>
    <mergeCell ref="AL622:AO622"/>
    <mergeCell ref="AP622:AU622"/>
    <mergeCell ref="AV622:AW622"/>
    <mergeCell ref="C622:E622"/>
    <mergeCell ref="F622:H622"/>
    <mergeCell ref="I622:R622"/>
    <mergeCell ref="S622:AD622"/>
    <mergeCell ref="AE622:AF622"/>
    <mergeCell ref="AG622:AI622"/>
    <mergeCell ref="AJ622:AK622"/>
    <mergeCell ref="AL623:AO623"/>
    <mergeCell ref="AP623:AU623"/>
    <mergeCell ref="AV623:AW623"/>
    <mergeCell ref="C623:E623"/>
    <mergeCell ref="F623:H623"/>
    <mergeCell ref="I623:R623"/>
    <mergeCell ref="S623:AD623"/>
    <mergeCell ref="AE623:AF623"/>
    <mergeCell ref="AG623:AI623"/>
    <mergeCell ref="AJ623:AK623"/>
    <mergeCell ref="AL624:AO624"/>
    <mergeCell ref="AP624:AU624"/>
    <mergeCell ref="AV624:AW624"/>
    <mergeCell ref="C624:E624"/>
    <mergeCell ref="F624:H624"/>
    <mergeCell ref="I624:R624"/>
    <mergeCell ref="S624:AD624"/>
    <mergeCell ref="AE624:AF624"/>
    <mergeCell ref="AG624:AI624"/>
    <mergeCell ref="AJ624:AK624"/>
    <mergeCell ref="AL625:AO625"/>
    <mergeCell ref="AP625:AU625"/>
    <mergeCell ref="AV625:AW625"/>
    <mergeCell ref="C625:E625"/>
    <mergeCell ref="F625:H625"/>
    <mergeCell ref="I625:R625"/>
    <mergeCell ref="S625:AD625"/>
    <mergeCell ref="AE625:AF625"/>
    <mergeCell ref="AG625:AI625"/>
    <mergeCell ref="AJ625:AK625"/>
    <mergeCell ref="AL626:AO626"/>
    <mergeCell ref="AP626:AU626"/>
    <mergeCell ref="AV626:AW626"/>
    <mergeCell ref="C626:E626"/>
    <mergeCell ref="F626:H626"/>
    <mergeCell ref="I626:R626"/>
    <mergeCell ref="S626:AD626"/>
    <mergeCell ref="AE626:AF626"/>
    <mergeCell ref="AG626:AI626"/>
    <mergeCell ref="AJ626:AK626"/>
    <mergeCell ref="AL627:AO627"/>
    <mergeCell ref="AP627:AU627"/>
    <mergeCell ref="AV627:AW627"/>
    <mergeCell ref="C627:E627"/>
    <mergeCell ref="F627:H627"/>
    <mergeCell ref="I627:R627"/>
    <mergeCell ref="S627:AD627"/>
    <mergeCell ref="AE627:AF627"/>
    <mergeCell ref="AG627:AI627"/>
    <mergeCell ref="AJ627:AK627"/>
    <mergeCell ref="AL628:AO628"/>
    <mergeCell ref="AP628:AU628"/>
    <mergeCell ref="AV628:AW628"/>
    <mergeCell ref="C628:E628"/>
    <mergeCell ref="F628:H628"/>
    <mergeCell ref="I628:R628"/>
    <mergeCell ref="S628:AD628"/>
    <mergeCell ref="AE628:AF628"/>
    <mergeCell ref="AG628:AI628"/>
    <mergeCell ref="AJ628:AK628"/>
    <mergeCell ref="AL629:AO629"/>
    <mergeCell ref="AP629:AU629"/>
    <mergeCell ref="AV629:AW629"/>
    <mergeCell ref="C629:E629"/>
    <mergeCell ref="F629:H629"/>
    <mergeCell ref="I629:R629"/>
    <mergeCell ref="S629:AD629"/>
    <mergeCell ref="AE629:AF629"/>
    <mergeCell ref="AG629:AI629"/>
    <mergeCell ref="AJ629:AK629"/>
    <mergeCell ref="AL630:AO630"/>
    <mergeCell ref="AP630:AU630"/>
    <mergeCell ref="AV630:AW630"/>
    <mergeCell ref="C630:E630"/>
    <mergeCell ref="F630:H630"/>
    <mergeCell ref="I630:R630"/>
    <mergeCell ref="S630:AD630"/>
    <mergeCell ref="AE630:AF630"/>
    <mergeCell ref="AG630:AI630"/>
    <mergeCell ref="AJ630:AK630"/>
    <mergeCell ref="AL631:AO631"/>
    <mergeCell ref="AP631:AU631"/>
    <mergeCell ref="AV631:AW631"/>
    <mergeCell ref="C631:E631"/>
    <mergeCell ref="F631:H631"/>
    <mergeCell ref="I631:R631"/>
    <mergeCell ref="S631:AD631"/>
    <mergeCell ref="AE631:AF631"/>
    <mergeCell ref="AG631:AI631"/>
    <mergeCell ref="AJ631:AK631"/>
    <mergeCell ref="AL632:AO632"/>
    <mergeCell ref="AP632:AU632"/>
    <mergeCell ref="AV632:AW632"/>
    <mergeCell ref="C632:E632"/>
    <mergeCell ref="F632:H632"/>
    <mergeCell ref="I632:R632"/>
    <mergeCell ref="S632:AD632"/>
    <mergeCell ref="AE632:AF632"/>
    <mergeCell ref="AG632:AI632"/>
    <mergeCell ref="AJ632:AK632"/>
    <mergeCell ref="AL633:AO633"/>
    <mergeCell ref="AP633:AU633"/>
    <mergeCell ref="AV633:AW633"/>
    <mergeCell ref="C633:E633"/>
    <mergeCell ref="F633:H633"/>
    <mergeCell ref="I633:R633"/>
    <mergeCell ref="S633:AD633"/>
    <mergeCell ref="AE633:AF633"/>
    <mergeCell ref="AG633:AI633"/>
    <mergeCell ref="AJ633:AK633"/>
    <mergeCell ref="AL634:AO634"/>
    <mergeCell ref="AP634:AU634"/>
    <mergeCell ref="AV634:AW634"/>
    <mergeCell ref="C634:E634"/>
    <mergeCell ref="F634:H634"/>
    <mergeCell ref="I634:R634"/>
    <mergeCell ref="S634:AD634"/>
    <mergeCell ref="AE634:AF634"/>
    <mergeCell ref="AG634:AI634"/>
    <mergeCell ref="AJ634:AK634"/>
    <mergeCell ref="AL635:AO635"/>
    <mergeCell ref="AP635:AU635"/>
    <mergeCell ref="AV635:AW635"/>
    <mergeCell ref="C635:E635"/>
    <mergeCell ref="F635:H635"/>
    <mergeCell ref="I635:R635"/>
    <mergeCell ref="S635:AD635"/>
    <mergeCell ref="AE635:AF635"/>
    <mergeCell ref="AG635:AI635"/>
    <mergeCell ref="AJ635:AK635"/>
    <mergeCell ref="AL636:AO636"/>
    <mergeCell ref="AP636:AU636"/>
    <mergeCell ref="AV636:AW636"/>
    <mergeCell ref="C636:E636"/>
    <mergeCell ref="F636:H636"/>
    <mergeCell ref="I636:R636"/>
    <mergeCell ref="S636:AD636"/>
    <mergeCell ref="AE636:AF636"/>
    <mergeCell ref="AG636:AI636"/>
    <mergeCell ref="AJ636:AK636"/>
    <mergeCell ref="AL637:AO637"/>
    <mergeCell ref="AP637:AU637"/>
    <mergeCell ref="AV637:AW637"/>
    <mergeCell ref="C637:E637"/>
    <mergeCell ref="F637:H637"/>
    <mergeCell ref="I637:R637"/>
    <mergeCell ref="S637:AD637"/>
    <mergeCell ref="AE637:AF637"/>
    <mergeCell ref="AG637:AI637"/>
    <mergeCell ref="AJ637:AK637"/>
    <mergeCell ref="AL638:AO638"/>
    <mergeCell ref="AP638:AU638"/>
    <mergeCell ref="AV638:AW638"/>
    <mergeCell ref="C638:E638"/>
    <mergeCell ref="F638:H638"/>
    <mergeCell ref="I638:R638"/>
    <mergeCell ref="S638:AD638"/>
    <mergeCell ref="AE638:AF638"/>
    <mergeCell ref="AG638:AI638"/>
    <mergeCell ref="AJ638:AK638"/>
    <mergeCell ref="AL639:AO639"/>
    <mergeCell ref="AP639:AU639"/>
    <mergeCell ref="AV639:AW639"/>
    <mergeCell ref="C639:E639"/>
    <mergeCell ref="F639:H639"/>
    <mergeCell ref="I639:R639"/>
    <mergeCell ref="S639:AD639"/>
    <mergeCell ref="AE639:AF639"/>
    <mergeCell ref="AG639:AI639"/>
    <mergeCell ref="AJ639:AK639"/>
    <mergeCell ref="AL640:AO640"/>
    <mergeCell ref="AP640:AU640"/>
    <mergeCell ref="AV640:AW640"/>
    <mergeCell ref="C640:E640"/>
    <mergeCell ref="F640:H640"/>
    <mergeCell ref="I640:R640"/>
    <mergeCell ref="S640:AD640"/>
    <mergeCell ref="AE640:AF640"/>
    <mergeCell ref="AG640:AI640"/>
    <mergeCell ref="AJ640:AK640"/>
    <mergeCell ref="AL641:AO641"/>
    <mergeCell ref="AP641:AU641"/>
    <mergeCell ref="AV641:AW641"/>
    <mergeCell ref="C641:E641"/>
    <mergeCell ref="F641:H641"/>
    <mergeCell ref="I641:R641"/>
    <mergeCell ref="S641:AD641"/>
    <mergeCell ref="AE641:AF641"/>
    <mergeCell ref="AG641:AI641"/>
    <mergeCell ref="AJ641:AK641"/>
    <mergeCell ref="AL5:AO5"/>
    <mergeCell ref="AP5:AU5"/>
    <mergeCell ref="AV5:AW5"/>
    <mergeCell ref="C5:E5"/>
    <mergeCell ref="F5:H5"/>
    <mergeCell ref="I5:R5"/>
    <mergeCell ref="S5:AD5"/>
    <mergeCell ref="AE5:AF5"/>
    <mergeCell ref="AG5:AI5"/>
    <mergeCell ref="AJ5:AK5"/>
    <mergeCell ref="AL6:AO6"/>
    <mergeCell ref="AP6:AU6"/>
    <mergeCell ref="AV6:AW6"/>
    <mergeCell ref="C6:E6"/>
    <mergeCell ref="F6:H6"/>
    <mergeCell ref="I6:R6"/>
    <mergeCell ref="S6:AD6"/>
    <mergeCell ref="AE6:AF6"/>
    <mergeCell ref="AG6:AI6"/>
    <mergeCell ref="AJ6:AK6"/>
    <mergeCell ref="AL7:AO7"/>
    <mergeCell ref="AP7:AU7"/>
    <mergeCell ref="AV7:AW7"/>
    <mergeCell ref="C7:E7"/>
    <mergeCell ref="F7:H7"/>
    <mergeCell ref="I7:R7"/>
    <mergeCell ref="S7:AD7"/>
    <mergeCell ref="AE7:AF7"/>
    <mergeCell ref="AG7:AI7"/>
    <mergeCell ref="AJ7:AK7"/>
    <mergeCell ref="AL8:AO8"/>
    <mergeCell ref="AP8:AU8"/>
    <mergeCell ref="AV8:AW8"/>
    <mergeCell ref="C8:E8"/>
    <mergeCell ref="F8:H8"/>
    <mergeCell ref="I8:R8"/>
    <mergeCell ref="S8:AD8"/>
    <mergeCell ref="AE8:AF8"/>
    <mergeCell ref="AG8:AI8"/>
    <mergeCell ref="AJ8:AK8"/>
    <mergeCell ref="AL9:AO9"/>
    <mergeCell ref="AP9:AU9"/>
    <mergeCell ref="AV9:AW9"/>
    <mergeCell ref="C9:E9"/>
    <mergeCell ref="F9:H9"/>
    <mergeCell ref="I9:R9"/>
    <mergeCell ref="S9:AD9"/>
    <mergeCell ref="AE9:AF9"/>
    <mergeCell ref="AG9:AI9"/>
    <mergeCell ref="AJ9:AK9"/>
    <mergeCell ref="AL10:AO10"/>
    <mergeCell ref="AP10:AU10"/>
    <mergeCell ref="AV10:AW10"/>
    <mergeCell ref="C10:E10"/>
    <mergeCell ref="F10:H10"/>
    <mergeCell ref="I10:R10"/>
    <mergeCell ref="S10:AD10"/>
    <mergeCell ref="AE10:AF10"/>
    <mergeCell ref="AG10:AI10"/>
    <mergeCell ref="AJ10:AK10"/>
    <mergeCell ref="AL11:AO11"/>
    <mergeCell ref="AP11:AU11"/>
    <mergeCell ref="AV11:AW11"/>
    <mergeCell ref="C11:E11"/>
    <mergeCell ref="F11:H11"/>
    <mergeCell ref="I11:R11"/>
    <mergeCell ref="S11:AD11"/>
    <mergeCell ref="AE11:AF11"/>
    <mergeCell ref="AG11:AI11"/>
    <mergeCell ref="AJ11:AK11"/>
    <mergeCell ref="AL12:AO12"/>
    <mergeCell ref="AP12:AU12"/>
    <mergeCell ref="AV12:AW12"/>
    <mergeCell ref="C12:E12"/>
    <mergeCell ref="F12:H12"/>
    <mergeCell ref="I12:R12"/>
    <mergeCell ref="S12:AD12"/>
    <mergeCell ref="AE12:AF12"/>
    <mergeCell ref="AG12:AI12"/>
    <mergeCell ref="AJ12:AK12"/>
    <mergeCell ref="AL13:AO13"/>
    <mergeCell ref="AP13:AU13"/>
    <mergeCell ref="AV13:AW13"/>
    <mergeCell ref="C13:E13"/>
    <mergeCell ref="F13:H13"/>
    <mergeCell ref="I13:R13"/>
    <mergeCell ref="S13:AD13"/>
    <mergeCell ref="AE13:AF13"/>
    <mergeCell ref="AG13:AI13"/>
    <mergeCell ref="AJ13:AK13"/>
    <mergeCell ref="AL14:AO14"/>
    <mergeCell ref="AP14:AU14"/>
    <mergeCell ref="AV14:AW14"/>
    <mergeCell ref="C14:E14"/>
    <mergeCell ref="F14:H14"/>
    <mergeCell ref="I14:R14"/>
    <mergeCell ref="S14:AD14"/>
    <mergeCell ref="AE14:AF14"/>
    <mergeCell ref="AG14:AI14"/>
    <mergeCell ref="AJ14:AK14"/>
    <mergeCell ref="AL15:AO15"/>
    <mergeCell ref="AP15:AU15"/>
    <mergeCell ref="AV15:AW15"/>
    <mergeCell ref="C15:E15"/>
    <mergeCell ref="F15:H15"/>
    <mergeCell ref="I15:R15"/>
    <mergeCell ref="S15:AD15"/>
    <mergeCell ref="AE15:AF15"/>
    <mergeCell ref="AG15:AI15"/>
    <mergeCell ref="AJ15:AK15"/>
    <mergeCell ref="AL16:AO16"/>
    <mergeCell ref="AP16:AU16"/>
    <mergeCell ref="AV16:AW16"/>
    <mergeCell ref="C16:E16"/>
    <mergeCell ref="F16:H16"/>
    <mergeCell ref="I16:R16"/>
    <mergeCell ref="S16:AD16"/>
    <mergeCell ref="AE16:AF16"/>
    <mergeCell ref="AG16:AI16"/>
    <mergeCell ref="AJ16:AK16"/>
    <mergeCell ref="AL17:AO17"/>
    <mergeCell ref="AP17:AU17"/>
    <mergeCell ref="AV17:AW17"/>
    <mergeCell ref="C17:E17"/>
    <mergeCell ref="F17:H17"/>
    <mergeCell ref="I17:R17"/>
    <mergeCell ref="S17:AD17"/>
    <mergeCell ref="AE17:AF17"/>
    <mergeCell ref="AG17:AI17"/>
    <mergeCell ref="AJ17:AK17"/>
    <mergeCell ref="AL18:AO18"/>
    <mergeCell ref="AP18:AU18"/>
    <mergeCell ref="AV18:AW18"/>
    <mergeCell ref="C18:E18"/>
    <mergeCell ref="F18:H18"/>
    <mergeCell ref="I18:R18"/>
    <mergeCell ref="S18:AD18"/>
    <mergeCell ref="AE18:AF18"/>
    <mergeCell ref="AG18:AI18"/>
    <mergeCell ref="AJ18:AK18"/>
    <mergeCell ref="AL19:AO19"/>
    <mergeCell ref="AP19:AU19"/>
    <mergeCell ref="AV19:AW19"/>
    <mergeCell ref="C19:E19"/>
    <mergeCell ref="F19:H19"/>
    <mergeCell ref="I19:R19"/>
    <mergeCell ref="S19:AD19"/>
    <mergeCell ref="AE19:AF19"/>
    <mergeCell ref="AG19:AI19"/>
    <mergeCell ref="AJ19:AK19"/>
    <mergeCell ref="AL20:AO20"/>
    <mergeCell ref="AP20:AU20"/>
    <mergeCell ref="AV20:AW20"/>
    <mergeCell ref="C20:E20"/>
    <mergeCell ref="F20:H20"/>
    <mergeCell ref="I20:R20"/>
    <mergeCell ref="S20:AD20"/>
    <mergeCell ref="AE20:AF20"/>
    <mergeCell ref="AG20:AI20"/>
    <mergeCell ref="AJ20:AK20"/>
    <mergeCell ref="AL21:AO21"/>
    <mergeCell ref="AP21:AU21"/>
    <mergeCell ref="AV21:AW21"/>
    <mergeCell ref="C21:E21"/>
    <mergeCell ref="F21:H21"/>
    <mergeCell ref="I21:R21"/>
    <mergeCell ref="S21:AD21"/>
    <mergeCell ref="AE21:AF21"/>
    <mergeCell ref="AG21:AI21"/>
    <mergeCell ref="AJ21:AK21"/>
    <mergeCell ref="AL22:AO22"/>
    <mergeCell ref="AP22:AU22"/>
    <mergeCell ref="AV22:AW22"/>
    <mergeCell ref="C22:E22"/>
    <mergeCell ref="F22:H22"/>
    <mergeCell ref="I22:R22"/>
    <mergeCell ref="S22:AD22"/>
    <mergeCell ref="AE22:AF22"/>
    <mergeCell ref="AG22:AI22"/>
    <mergeCell ref="AJ22:AK22"/>
    <mergeCell ref="AL23:AO23"/>
    <mergeCell ref="AP23:AU23"/>
    <mergeCell ref="AV23:AW23"/>
    <mergeCell ref="C23:E23"/>
    <mergeCell ref="F23:H23"/>
    <mergeCell ref="I23:R23"/>
    <mergeCell ref="S23:AD23"/>
    <mergeCell ref="AE23:AF23"/>
    <mergeCell ref="AG23:AI23"/>
    <mergeCell ref="AJ23:AK23"/>
    <mergeCell ref="AL24:AO24"/>
    <mergeCell ref="AP24:AU24"/>
    <mergeCell ref="AV24:AW24"/>
    <mergeCell ref="C24:E24"/>
    <mergeCell ref="F24:H24"/>
    <mergeCell ref="I24:R24"/>
    <mergeCell ref="S24:AD24"/>
    <mergeCell ref="AE24:AF24"/>
    <mergeCell ref="AG24:AI24"/>
    <mergeCell ref="AJ24:AK24"/>
    <mergeCell ref="AL25:AO25"/>
    <mergeCell ref="AP25:AU25"/>
    <mergeCell ref="AV25:AW25"/>
    <mergeCell ref="C25:E25"/>
    <mergeCell ref="F25:H25"/>
    <mergeCell ref="I25:R25"/>
    <mergeCell ref="S25:AD25"/>
    <mergeCell ref="AE25:AF25"/>
    <mergeCell ref="AG25:AI25"/>
    <mergeCell ref="AJ25:AK25"/>
    <mergeCell ref="AL26:AO26"/>
    <mergeCell ref="AP26:AU26"/>
    <mergeCell ref="AV26:AW26"/>
    <mergeCell ref="C26:E26"/>
    <mergeCell ref="F26:H26"/>
    <mergeCell ref="I26:R26"/>
    <mergeCell ref="S26:AD26"/>
    <mergeCell ref="AE26:AF26"/>
    <mergeCell ref="AG26:AI26"/>
    <mergeCell ref="AJ26:AK26"/>
    <mergeCell ref="AL27:AO27"/>
    <mergeCell ref="AP27:AU27"/>
    <mergeCell ref="AV27:AW27"/>
    <mergeCell ref="C27:E27"/>
    <mergeCell ref="F27:H27"/>
    <mergeCell ref="I27:R27"/>
    <mergeCell ref="S27:AD27"/>
    <mergeCell ref="AE27:AF27"/>
    <mergeCell ref="AG27:AI27"/>
    <mergeCell ref="AJ27:AK27"/>
    <mergeCell ref="AL28:AO28"/>
    <mergeCell ref="AP28:AU28"/>
    <mergeCell ref="AV28:AW28"/>
    <mergeCell ref="C28:E28"/>
    <mergeCell ref="F28:H28"/>
    <mergeCell ref="I28:R28"/>
    <mergeCell ref="S28:AD28"/>
    <mergeCell ref="AE28:AF28"/>
    <mergeCell ref="AG28:AI28"/>
    <mergeCell ref="AJ28:AK28"/>
    <mergeCell ref="AL29:AO29"/>
    <mergeCell ref="AP29:AU29"/>
    <mergeCell ref="AV29:AW29"/>
    <mergeCell ref="C29:E29"/>
    <mergeCell ref="F29:H29"/>
    <mergeCell ref="I29:R29"/>
    <mergeCell ref="S29:AD29"/>
    <mergeCell ref="AE29:AF29"/>
    <mergeCell ref="AG29:AI29"/>
    <mergeCell ref="AJ29:AK29"/>
    <mergeCell ref="AL30:AO30"/>
    <mergeCell ref="AP30:AU30"/>
    <mergeCell ref="AV30:AW30"/>
    <mergeCell ref="C30:E30"/>
    <mergeCell ref="F30:H30"/>
    <mergeCell ref="I30:R30"/>
    <mergeCell ref="S30:AD30"/>
    <mergeCell ref="AE30:AF30"/>
    <mergeCell ref="AG30:AI30"/>
    <mergeCell ref="AJ30:AK30"/>
    <mergeCell ref="AL31:AO31"/>
    <mergeCell ref="AP31:AU31"/>
    <mergeCell ref="AV31:AW31"/>
    <mergeCell ref="C31:E31"/>
    <mergeCell ref="F31:H31"/>
    <mergeCell ref="I31:R31"/>
    <mergeCell ref="S31:AD31"/>
    <mergeCell ref="AE31:AF31"/>
    <mergeCell ref="AG31:AI31"/>
    <mergeCell ref="AJ31:AK31"/>
    <mergeCell ref="AL32:AO32"/>
    <mergeCell ref="AP32:AU32"/>
    <mergeCell ref="AV32:AW32"/>
    <mergeCell ref="C32:E32"/>
    <mergeCell ref="F32:H32"/>
    <mergeCell ref="I32:R32"/>
    <mergeCell ref="S32:AD32"/>
    <mergeCell ref="AE32:AF32"/>
    <mergeCell ref="AG32:AI32"/>
    <mergeCell ref="AJ32:AK32"/>
    <mergeCell ref="AL33:AO33"/>
    <mergeCell ref="AP33:AU33"/>
    <mergeCell ref="AV33:AW33"/>
    <mergeCell ref="C33:E33"/>
    <mergeCell ref="F33:H33"/>
    <mergeCell ref="I33:R33"/>
    <mergeCell ref="S33:AD33"/>
    <mergeCell ref="AE33:AF33"/>
    <mergeCell ref="AG33:AI33"/>
    <mergeCell ref="AJ33:AK33"/>
    <mergeCell ref="AL34:AO34"/>
    <mergeCell ref="AP34:AU34"/>
    <mergeCell ref="AV34:AW34"/>
    <mergeCell ref="C34:E34"/>
    <mergeCell ref="F34:H34"/>
    <mergeCell ref="I34:R34"/>
    <mergeCell ref="S34:AD34"/>
    <mergeCell ref="AE34:AF34"/>
    <mergeCell ref="AG34:AI34"/>
    <mergeCell ref="AJ34:AK34"/>
    <mergeCell ref="AL35:AO35"/>
    <mergeCell ref="AP35:AU35"/>
    <mergeCell ref="AV35:AW35"/>
    <mergeCell ref="C35:E35"/>
    <mergeCell ref="F35:H35"/>
    <mergeCell ref="I35:R35"/>
    <mergeCell ref="S35:AD35"/>
    <mergeCell ref="AE35:AF35"/>
    <mergeCell ref="AG35:AI35"/>
    <mergeCell ref="AJ35:AK35"/>
    <mergeCell ref="AL36:AO36"/>
    <mergeCell ref="AP36:AU36"/>
    <mergeCell ref="AV36:AW36"/>
    <mergeCell ref="C36:E36"/>
    <mergeCell ref="F36:H36"/>
    <mergeCell ref="I36:R36"/>
    <mergeCell ref="S36:AD36"/>
    <mergeCell ref="AE36:AF36"/>
    <mergeCell ref="AG36:AI36"/>
    <mergeCell ref="AJ36:AK36"/>
    <mergeCell ref="AL37:AO37"/>
    <mergeCell ref="AP37:AU37"/>
    <mergeCell ref="AV37:AW37"/>
    <mergeCell ref="C37:E37"/>
    <mergeCell ref="F37:H37"/>
    <mergeCell ref="I37:R37"/>
    <mergeCell ref="S37:AD37"/>
    <mergeCell ref="AE37:AF37"/>
    <mergeCell ref="AG37:AI37"/>
    <mergeCell ref="AJ37:AK37"/>
    <mergeCell ref="AL38:AO38"/>
    <mergeCell ref="AP38:AU38"/>
    <mergeCell ref="AV38:AW38"/>
    <mergeCell ref="C38:E38"/>
    <mergeCell ref="F38:H38"/>
    <mergeCell ref="I38:R38"/>
    <mergeCell ref="S38:AD38"/>
    <mergeCell ref="AE38:AF38"/>
    <mergeCell ref="AG38:AI38"/>
    <mergeCell ref="AJ38:AK38"/>
    <mergeCell ref="AL39:AO39"/>
    <mergeCell ref="AP39:AU39"/>
    <mergeCell ref="AV39:AW39"/>
    <mergeCell ref="C39:E39"/>
    <mergeCell ref="F39:H39"/>
    <mergeCell ref="I39:R39"/>
    <mergeCell ref="S39:AD39"/>
    <mergeCell ref="AE39:AF39"/>
    <mergeCell ref="AG39:AI39"/>
    <mergeCell ref="AJ39:AK39"/>
    <mergeCell ref="AL40:AO40"/>
    <mergeCell ref="AP40:AU40"/>
    <mergeCell ref="AV40:AW40"/>
    <mergeCell ref="C40:E40"/>
    <mergeCell ref="F40:H40"/>
    <mergeCell ref="I40:R40"/>
    <mergeCell ref="S40:AD40"/>
    <mergeCell ref="AE40:AF40"/>
    <mergeCell ref="AG40:AI40"/>
    <mergeCell ref="AJ40:AK40"/>
    <mergeCell ref="AL41:AO41"/>
    <mergeCell ref="AP41:AU41"/>
    <mergeCell ref="AV41:AW41"/>
    <mergeCell ref="C41:E41"/>
    <mergeCell ref="F41:H41"/>
    <mergeCell ref="I41:R41"/>
    <mergeCell ref="S41:AD41"/>
    <mergeCell ref="AE41:AF41"/>
    <mergeCell ref="AG41:AI41"/>
    <mergeCell ref="AJ41:AK41"/>
    <mergeCell ref="AL42:AO42"/>
    <mergeCell ref="AP42:AU42"/>
    <mergeCell ref="AV42:AW42"/>
    <mergeCell ref="C42:E42"/>
    <mergeCell ref="F42:H42"/>
    <mergeCell ref="I42:R42"/>
    <mergeCell ref="S42:AD42"/>
    <mergeCell ref="AE42:AF42"/>
    <mergeCell ref="AG42:AI42"/>
    <mergeCell ref="AJ42:AK42"/>
    <mergeCell ref="AL43:AO43"/>
    <mergeCell ref="AP43:AU43"/>
    <mergeCell ref="AV43:AW43"/>
    <mergeCell ref="C43:E43"/>
    <mergeCell ref="F43:H43"/>
    <mergeCell ref="I43:R43"/>
    <mergeCell ref="S43:AD43"/>
    <mergeCell ref="AE43:AF43"/>
    <mergeCell ref="AG43:AI43"/>
    <mergeCell ref="AJ43:AK43"/>
    <mergeCell ref="AL44:AO44"/>
    <mergeCell ref="AP44:AU44"/>
    <mergeCell ref="AV44:AW44"/>
    <mergeCell ref="C44:E44"/>
    <mergeCell ref="F44:H44"/>
    <mergeCell ref="I44:R44"/>
    <mergeCell ref="S44:AD44"/>
    <mergeCell ref="AE44:AF44"/>
    <mergeCell ref="AG44:AI44"/>
    <mergeCell ref="AJ44:AK44"/>
    <mergeCell ref="AL45:AO45"/>
    <mergeCell ref="AP45:AU45"/>
    <mergeCell ref="AV45:AW45"/>
    <mergeCell ref="C45:E45"/>
    <mergeCell ref="F45:H45"/>
    <mergeCell ref="I45:R45"/>
    <mergeCell ref="S45:AD45"/>
    <mergeCell ref="AE45:AF45"/>
    <mergeCell ref="AG45:AI45"/>
    <mergeCell ref="AJ45:AK45"/>
    <mergeCell ref="AL46:AO46"/>
    <mergeCell ref="AP46:AU46"/>
    <mergeCell ref="AV46:AW46"/>
    <mergeCell ref="C46:E46"/>
    <mergeCell ref="F46:H46"/>
    <mergeCell ref="I46:R46"/>
    <mergeCell ref="S46:AD46"/>
    <mergeCell ref="AE46:AF46"/>
    <mergeCell ref="AG46:AI46"/>
    <mergeCell ref="AJ46:AK46"/>
    <mergeCell ref="AL47:AO47"/>
    <mergeCell ref="AP47:AU47"/>
    <mergeCell ref="AV47:AW47"/>
    <mergeCell ref="C47:E47"/>
    <mergeCell ref="F47:H47"/>
    <mergeCell ref="I47:R47"/>
    <mergeCell ref="S47:AD47"/>
    <mergeCell ref="AE47:AF47"/>
    <mergeCell ref="AG47:AI47"/>
    <mergeCell ref="AJ47:AK47"/>
    <mergeCell ref="AL48:AO48"/>
    <mergeCell ref="AP48:AU48"/>
    <mergeCell ref="AV48:AW48"/>
    <mergeCell ref="C48:E48"/>
    <mergeCell ref="F48:H48"/>
    <mergeCell ref="I48:R48"/>
    <mergeCell ref="S48:AD48"/>
    <mergeCell ref="AE48:AF48"/>
    <mergeCell ref="AG48:AI48"/>
    <mergeCell ref="AJ48:AK48"/>
    <mergeCell ref="AL49:AO49"/>
    <mergeCell ref="AP49:AU49"/>
    <mergeCell ref="AV49:AW49"/>
    <mergeCell ref="C49:E49"/>
    <mergeCell ref="F49:H49"/>
    <mergeCell ref="I49:R49"/>
    <mergeCell ref="S49:AD49"/>
    <mergeCell ref="AE49:AF49"/>
    <mergeCell ref="AG49:AI49"/>
    <mergeCell ref="AJ49:AK49"/>
    <mergeCell ref="AL50:AO50"/>
    <mergeCell ref="AP50:AU50"/>
    <mergeCell ref="AV50:AW50"/>
    <mergeCell ref="C50:E50"/>
    <mergeCell ref="F50:H50"/>
    <mergeCell ref="I50:R50"/>
    <mergeCell ref="S50:AD50"/>
    <mergeCell ref="AE50:AF50"/>
    <mergeCell ref="AG50:AI50"/>
    <mergeCell ref="AJ50:AK50"/>
    <mergeCell ref="AL51:AO51"/>
    <mergeCell ref="AP51:AU51"/>
    <mergeCell ref="AV51:AW51"/>
    <mergeCell ref="C51:E51"/>
    <mergeCell ref="F51:H51"/>
    <mergeCell ref="I51:R51"/>
    <mergeCell ref="S51:AD51"/>
    <mergeCell ref="AE51:AF51"/>
    <mergeCell ref="AG51:AI51"/>
    <mergeCell ref="AJ51:AK51"/>
    <mergeCell ref="AL52:AO52"/>
    <mergeCell ref="AP52:AU52"/>
    <mergeCell ref="AV52:AW52"/>
    <mergeCell ref="C52:E52"/>
    <mergeCell ref="F52:H52"/>
    <mergeCell ref="I52:R52"/>
    <mergeCell ref="S52:AD52"/>
    <mergeCell ref="AE52:AF52"/>
    <mergeCell ref="AG52:AI52"/>
    <mergeCell ref="AJ52:AK52"/>
    <mergeCell ref="AL53:AO53"/>
    <mergeCell ref="AP53:AU53"/>
    <mergeCell ref="AV53:AW53"/>
    <mergeCell ref="C53:E53"/>
    <mergeCell ref="F53:H53"/>
    <mergeCell ref="I53:R53"/>
    <mergeCell ref="S53:AD53"/>
    <mergeCell ref="AE53:AF53"/>
    <mergeCell ref="AG53:AI53"/>
    <mergeCell ref="AJ53:AK53"/>
    <mergeCell ref="AL54:AO54"/>
    <mergeCell ref="AP54:AU54"/>
    <mergeCell ref="AV54:AW54"/>
    <mergeCell ref="C54:E54"/>
    <mergeCell ref="F54:H54"/>
    <mergeCell ref="I54:R54"/>
    <mergeCell ref="S54:AD54"/>
    <mergeCell ref="AE54:AF54"/>
    <mergeCell ref="AG54:AI54"/>
    <mergeCell ref="AJ54:AK54"/>
    <mergeCell ref="AL55:AO55"/>
    <mergeCell ref="AP55:AU55"/>
    <mergeCell ref="AV55:AW55"/>
    <mergeCell ref="C55:E55"/>
    <mergeCell ref="F55:H55"/>
    <mergeCell ref="I55:R55"/>
    <mergeCell ref="S55:AD55"/>
    <mergeCell ref="AE55:AF55"/>
    <mergeCell ref="AG55:AI55"/>
    <mergeCell ref="AJ55:AK55"/>
    <mergeCell ref="AL56:AO56"/>
    <mergeCell ref="AP56:AU56"/>
    <mergeCell ref="AV56:AW56"/>
    <mergeCell ref="C56:E56"/>
    <mergeCell ref="F56:H56"/>
    <mergeCell ref="I56:R56"/>
    <mergeCell ref="S56:AD56"/>
    <mergeCell ref="AE56:AF56"/>
    <mergeCell ref="AG56:AI56"/>
    <mergeCell ref="AJ56:AK56"/>
    <mergeCell ref="AL57:AO57"/>
    <mergeCell ref="AP57:AU57"/>
    <mergeCell ref="AV57:AW57"/>
    <mergeCell ref="C57:E57"/>
    <mergeCell ref="F57:H57"/>
    <mergeCell ref="I57:R57"/>
    <mergeCell ref="S57:AD57"/>
    <mergeCell ref="AE57:AF57"/>
    <mergeCell ref="AG57:AI57"/>
    <mergeCell ref="AJ57:AK57"/>
    <mergeCell ref="AL58:AO58"/>
    <mergeCell ref="AP58:AU58"/>
    <mergeCell ref="AV58:AW58"/>
    <mergeCell ref="C58:E58"/>
    <mergeCell ref="F58:H58"/>
    <mergeCell ref="I58:R58"/>
    <mergeCell ref="S58:AD58"/>
    <mergeCell ref="AE58:AF58"/>
    <mergeCell ref="AG58:AI58"/>
    <mergeCell ref="AJ58:AK58"/>
    <mergeCell ref="AL59:AO59"/>
    <mergeCell ref="AP59:AU59"/>
    <mergeCell ref="AV59:AW59"/>
    <mergeCell ref="C59:E59"/>
    <mergeCell ref="F59:H59"/>
    <mergeCell ref="I59:R59"/>
    <mergeCell ref="S59:AD59"/>
    <mergeCell ref="AE59:AF59"/>
    <mergeCell ref="AG59:AI59"/>
    <mergeCell ref="AJ59:AK59"/>
    <mergeCell ref="AL60:AO60"/>
    <mergeCell ref="AP60:AU60"/>
    <mergeCell ref="AV60:AW60"/>
    <mergeCell ref="C60:E60"/>
    <mergeCell ref="F60:H60"/>
    <mergeCell ref="I60:R60"/>
    <mergeCell ref="S60:AD60"/>
    <mergeCell ref="AE60:AF60"/>
    <mergeCell ref="AG60:AI60"/>
    <mergeCell ref="AJ60:AK60"/>
    <mergeCell ref="AL61:AO61"/>
    <mergeCell ref="AP61:AU61"/>
    <mergeCell ref="AV61:AW61"/>
    <mergeCell ref="C61:E61"/>
    <mergeCell ref="F61:H61"/>
    <mergeCell ref="I61:R61"/>
    <mergeCell ref="S61:AD61"/>
    <mergeCell ref="AE61:AF61"/>
    <mergeCell ref="AG61:AI61"/>
    <mergeCell ref="AJ61:AK61"/>
    <mergeCell ref="AL62:AO62"/>
    <mergeCell ref="AP62:AU62"/>
    <mergeCell ref="AV62:AW62"/>
    <mergeCell ref="C62:E62"/>
    <mergeCell ref="F62:H62"/>
    <mergeCell ref="I62:R62"/>
    <mergeCell ref="S62:AD62"/>
    <mergeCell ref="AE62:AF62"/>
    <mergeCell ref="AG62:AI62"/>
    <mergeCell ref="AJ62:AK62"/>
    <mergeCell ref="AL63:AO63"/>
    <mergeCell ref="AP63:AU63"/>
    <mergeCell ref="AV63:AW63"/>
    <mergeCell ref="C63:E63"/>
    <mergeCell ref="F63:H63"/>
    <mergeCell ref="I63:R63"/>
    <mergeCell ref="S63:AD63"/>
    <mergeCell ref="AE63:AF63"/>
    <mergeCell ref="AG63:AI63"/>
    <mergeCell ref="AJ63:AK63"/>
    <mergeCell ref="AL64:AO64"/>
    <mergeCell ref="AP64:AU64"/>
    <mergeCell ref="AV64:AW64"/>
    <mergeCell ref="C64:E64"/>
    <mergeCell ref="F64:H64"/>
    <mergeCell ref="I64:R64"/>
    <mergeCell ref="S64:AD64"/>
    <mergeCell ref="AE64:AF64"/>
    <mergeCell ref="AG64:AI64"/>
    <mergeCell ref="AJ64:AK64"/>
    <mergeCell ref="AL65:AO65"/>
    <mergeCell ref="AP65:AU65"/>
    <mergeCell ref="AV65:AW65"/>
    <mergeCell ref="C65:E65"/>
    <mergeCell ref="F65:H65"/>
    <mergeCell ref="I65:R65"/>
    <mergeCell ref="S65:AD65"/>
    <mergeCell ref="AE65:AF65"/>
    <mergeCell ref="AG65:AI65"/>
    <mergeCell ref="AJ65:AK65"/>
    <mergeCell ref="AL66:AO66"/>
    <mergeCell ref="AP66:AU66"/>
    <mergeCell ref="AV66:AW66"/>
    <mergeCell ref="C66:E66"/>
    <mergeCell ref="F66:H66"/>
    <mergeCell ref="I66:R66"/>
    <mergeCell ref="S66:AD66"/>
    <mergeCell ref="AE66:AF66"/>
    <mergeCell ref="AG66:AI66"/>
    <mergeCell ref="AJ66:AK66"/>
    <mergeCell ref="AL67:AO67"/>
    <mergeCell ref="AP67:AU67"/>
    <mergeCell ref="AV67:AW67"/>
    <mergeCell ref="C67:E67"/>
    <mergeCell ref="F67:H67"/>
    <mergeCell ref="I67:R67"/>
    <mergeCell ref="S67:AD67"/>
    <mergeCell ref="AE67:AF67"/>
    <mergeCell ref="AG67:AI67"/>
    <mergeCell ref="AJ67:AK67"/>
    <mergeCell ref="AL68:AO68"/>
    <mergeCell ref="AP68:AU68"/>
    <mergeCell ref="AV68:AW68"/>
    <mergeCell ref="C68:E68"/>
    <mergeCell ref="F68:H68"/>
    <mergeCell ref="I68:R68"/>
    <mergeCell ref="S68:AD68"/>
    <mergeCell ref="AE68:AF68"/>
    <mergeCell ref="AG68:AI68"/>
    <mergeCell ref="AJ68:AK68"/>
    <mergeCell ref="AL69:AO69"/>
    <mergeCell ref="AP69:AU69"/>
    <mergeCell ref="AV69:AW69"/>
    <mergeCell ref="C69:E69"/>
    <mergeCell ref="F69:H69"/>
    <mergeCell ref="I69:R69"/>
    <mergeCell ref="S69:AD69"/>
    <mergeCell ref="AE69:AF69"/>
    <mergeCell ref="AG69:AI69"/>
    <mergeCell ref="AJ69:AK69"/>
    <mergeCell ref="AL70:AO70"/>
    <mergeCell ref="AP70:AU70"/>
    <mergeCell ref="AV70:AW70"/>
    <mergeCell ref="C70:E70"/>
    <mergeCell ref="F70:H70"/>
    <mergeCell ref="I70:R70"/>
    <mergeCell ref="S70:AD70"/>
    <mergeCell ref="AE70:AF70"/>
    <mergeCell ref="AG70:AI70"/>
    <mergeCell ref="AJ70:AK70"/>
    <mergeCell ref="AL71:AO71"/>
    <mergeCell ref="AP71:AU71"/>
    <mergeCell ref="AV71:AW71"/>
    <mergeCell ref="C71:E71"/>
    <mergeCell ref="F71:H71"/>
    <mergeCell ref="I71:R71"/>
    <mergeCell ref="S71:AD71"/>
    <mergeCell ref="AE71:AF71"/>
    <mergeCell ref="AG71:AI71"/>
    <mergeCell ref="AJ71:AK71"/>
    <mergeCell ref="AL72:AO72"/>
    <mergeCell ref="AP72:AU72"/>
    <mergeCell ref="AV72:AW72"/>
    <mergeCell ref="C72:E72"/>
    <mergeCell ref="F72:H72"/>
    <mergeCell ref="I72:R72"/>
    <mergeCell ref="S72:AD72"/>
    <mergeCell ref="AE72:AF72"/>
    <mergeCell ref="AG72:AI72"/>
    <mergeCell ref="AJ72:AK72"/>
    <mergeCell ref="AL73:AO73"/>
    <mergeCell ref="AP73:AU73"/>
    <mergeCell ref="AV73:AW73"/>
    <mergeCell ref="C73:E73"/>
    <mergeCell ref="F73:H73"/>
    <mergeCell ref="I73:R73"/>
    <mergeCell ref="S73:AD73"/>
    <mergeCell ref="AE73:AF73"/>
    <mergeCell ref="AG73:AI73"/>
    <mergeCell ref="AJ73:AK73"/>
    <mergeCell ref="AL74:AO74"/>
    <mergeCell ref="AP74:AU74"/>
    <mergeCell ref="AV74:AW74"/>
    <mergeCell ref="C74:E74"/>
    <mergeCell ref="F74:H74"/>
    <mergeCell ref="I74:R74"/>
    <mergeCell ref="S74:AD74"/>
    <mergeCell ref="AE74:AF74"/>
    <mergeCell ref="AG74:AI74"/>
    <mergeCell ref="AJ74:AK74"/>
    <mergeCell ref="AL75:AO75"/>
    <mergeCell ref="AP75:AU75"/>
    <mergeCell ref="AV75:AW75"/>
    <mergeCell ref="C75:E75"/>
    <mergeCell ref="F75:H75"/>
    <mergeCell ref="I75:R75"/>
    <mergeCell ref="S75:AD75"/>
    <mergeCell ref="AE75:AF75"/>
    <mergeCell ref="AG75:AI75"/>
    <mergeCell ref="AJ75:AK75"/>
    <mergeCell ref="AL76:AO76"/>
    <mergeCell ref="AP76:AU76"/>
    <mergeCell ref="AV76:AW76"/>
    <mergeCell ref="C76:E76"/>
    <mergeCell ref="F76:H76"/>
    <mergeCell ref="I76:R76"/>
    <mergeCell ref="S76:AD76"/>
    <mergeCell ref="AE76:AF76"/>
    <mergeCell ref="AG76:AI76"/>
    <mergeCell ref="AJ76:AK76"/>
    <mergeCell ref="AL77:AO77"/>
    <mergeCell ref="AP77:AU77"/>
    <mergeCell ref="AV77:AW77"/>
    <mergeCell ref="C77:E77"/>
    <mergeCell ref="F77:H77"/>
    <mergeCell ref="I77:R77"/>
    <mergeCell ref="S77:AD77"/>
    <mergeCell ref="AE77:AF77"/>
    <mergeCell ref="AG77:AI77"/>
    <mergeCell ref="AJ77:AK77"/>
    <mergeCell ref="AL78:AO78"/>
    <mergeCell ref="AP78:AU78"/>
    <mergeCell ref="AV78:AW78"/>
    <mergeCell ref="C78:E78"/>
    <mergeCell ref="F78:H78"/>
    <mergeCell ref="I78:R78"/>
    <mergeCell ref="S78:AD78"/>
    <mergeCell ref="AE78:AF78"/>
    <mergeCell ref="AG78:AI78"/>
    <mergeCell ref="AJ78:AK78"/>
    <mergeCell ref="AL79:AO79"/>
    <mergeCell ref="AP79:AU79"/>
    <mergeCell ref="AV79:AW79"/>
    <mergeCell ref="C79:E79"/>
    <mergeCell ref="F79:H79"/>
    <mergeCell ref="I79:R79"/>
    <mergeCell ref="S79:AD79"/>
    <mergeCell ref="AE79:AF79"/>
    <mergeCell ref="AG79:AI79"/>
    <mergeCell ref="AJ79:AK79"/>
    <mergeCell ref="AL80:AO80"/>
    <mergeCell ref="AP80:AU80"/>
    <mergeCell ref="AV80:AW80"/>
    <mergeCell ref="C80:E80"/>
    <mergeCell ref="F80:H80"/>
    <mergeCell ref="I80:R80"/>
    <mergeCell ref="S80:AD80"/>
    <mergeCell ref="AE80:AF80"/>
    <mergeCell ref="AG80:AI80"/>
    <mergeCell ref="AJ80:AK80"/>
    <mergeCell ref="AL81:AO81"/>
    <mergeCell ref="AP81:AU81"/>
    <mergeCell ref="AV81:AW81"/>
    <mergeCell ref="C81:E81"/>
    <mergeCell ref="F81:H81"/>
    <mergeCell ref="I81:R81"/>
    <mergeCell ref="S81:AD81"/>
    <mergeCell ref="AE81:AF81"/>
    <mergeCell ref="AG81:AI81"/>
    <mergeCell ref="AJ81:AK81"/>
    <mergeCell ref="AL82:AO82"/>
    <mergeCell ref="AP82:AU82"/>
    <mergeCell ref="AV82:AW82"/>
    <mergeCell ref="C82:E82"/>
    <mergeCell ref="F82:H82"/>
    <mergeCell ref="I82:R82"/>
    <mergeCell ref="S82:AD82"/>
    <mergeCell ref="AE82:AF82"/>
    <mergeCell ref="AG82:AI82"/>
    <mergeCell ref="AJ82:AK82"/>
    <mergeCell ref="AL83:AO83"/>
    <mergeCell ref="AP83:AU83"/>
    <mergeCell ref="AV83:AW83"/>
    <mergeCell ref="C83:E83"/>
    <mergeCell ref="F83:H83"/>
    <mergeCell ref="I83:R83"/>
    <mergeCell ref="S83:AD83"/>
    <mergeCell ref="AE83:AF83"/>
    <mergeCell ref="AG83:AI83"/>
    <mergeCell ref="AJ83:AK83"/>
    <mergeCell ref="AL84:AO84"/>
    <mergeCell ref="AP84:AU84"/>
    <mergeCell ref="AV84:AW84"/>
    <mergeCell ref="C84:E84"/>
    <mergeCell ref="F84:H84"/>
    <mergeCell ref="I84:R84"/>
    <mergeCell ref="S84:AD84"/>
    <mergeCell ref="AE84:AF84"/>
    <mergeCell ref="AG84:AI84"/>
    <mergeCell ref="AJ84:AK84"/>
    <mergeCell ref="AL85:AO85"/>
    <mergeCell ref="AP85:AU85"/>
    <mergeCell ref="AV85:AW85"/>
    <mergeCell ref="C85:E85"/>
    <mergeCell ref="F85:H85"/>
    <mergeCell ref="I85:R85"/>
    <mergeCell ref="S85:AD85"/>
    <mergeCell ref="AE85:AF85"/>
    <mergeCell ref="AG85:AI85"/>
    <mergeCell ref="AJ85:AK85"/>
    <mergeCell ref="AL86:AO86"/>
    <mergeCell ref="AP86:AU86"/>
    <mergeCell ref="AV86:AW86"/>
    <mergeCell ref="C86:E86"/>
    <mergeCell ref="F86:H86"/>
    <mergeCell ref="I86:R86"/>
    <mergeCell ref="S86:AD86"/>
    <mergeCell ref="AE86:AF86"/>
    <mergeCell ref="AG86:AI86"/>
    <mergeCell ref="AJ86:AK86"/>
    <mergeCell ref="AL87:AO87"/>
    <mergeCell ref="AP87:AU87"/>
    <mergeCell ref="AV87:AW87"/>
    <mergeCell ref="C87:E87"/>
    <mergeCell ref="F87:H87"/>
    <mergeCell ref="I87:R87"/>
    <mergeCell ref="S87:AD87"/>
    <mergeCell ref="AE87:AF87"/>
    <mergeCell ref="AG87:AI87"/>
    <mergeCell ref="AJ87:AK87"/>
    <mergeCell ref="AL88:AO88"/>
    <mergeCell ref="AP88:AU88"/>
    <mergeCell ref="AV88:AW88"/>
    <mergeCell ref="C88:E88"/>
    <mergeCell ref="F88:H88"/>
    <mergeCell ref="I88:R88"/>
    <mergeCell ref="S88:AD88"/>
    <mergeCell ref="AE88:AF88"/>
    <mergeCell ref="AG88:AI88"/>
    <mergeCell ref="AJ88:AK88"/>
    <mergeCell ref="AL89:AO89"/>
    <mergeCell ref="AP89:AU89"/>
    <mergeCell ref="AV89:AW89"/>
    <mergeCell ref="C89:E89"/>
    <mergeCell ref="F89:H89"/>
    <mergeCell ref="I89:R89"/>
    <mergeCell ref="S89:AD89"/>
    <mergeCell ref="AE89:AF89"/>
    <mergeCell ref="AG89:AI89"/>
    <mergeCell ref="AJ89:AK89"/>
    <mergeCell ref="AL90:AO90"/>
    <mergeCell ref="AP90:AU90"/>
    <mergeCell ref="AV90:AW90"/>
    <mergeCell ref="C90:E90"/>
    <mergeCell ref="F90:H90"/>
    <mergeCell ref="I90:R90"/>
    <mergeCell ref="S90:AD90"/>
    <mergeCell ref="AE90:AF90"/>
    <mergeCell ref="AG90:AI90"/>
    <mergeCell ref="AJ90:AK90"/>
    <mergeCell ref="AL91:AO91"/>
    <mergeCell ref="AP91:AU91"/>
    <mergeCell ref="AV91:AW91"/>
    <mergeCell ref="C91:E91"/>
    <mergeCell ref="F91:H91"/>
    <mergeCell ref="I91:R91"/>
    <mergeCell ref="S91:AD91"/>
    <mergeCell ref="AE91:AF91"/>
    <mergeCell ref="AG91:AI91"/>
    <mergeCell ref="AJ91:AK91"/>
    <mergeCell ref="AL92:AO92"/>
    <mergeCell ref="AP92:AU92"/>
    <mergeCell ref="AV92:AW92"/>
    <mergeCell ref="C92:E92"/>
    <mergeCell ref="F92:H92"/>
    <mergeCell ref="I92:R92"/>
    <mergeCell ref="S92:AD92"/>
    <mergeCell ref="AE92:AF92"/>
    <mergeCell ref="AG92:AI92"/>
    <mergeCell ref="AJ92:AK92"/>
    <mergeCell ref="AL93:AO93"/>
    <mergeCell ref="AP93:AU93"/>
    <mergeCell ref="AV93:AW93"/>
    <mergeCell ref="C93:E93"/>
    <mergeCell ref="F93:H93"/>
    <mergeCell ref="I93:R93"/>
    <mergeCell ref="S93:AD93"/>
    <mergeCell ref="AE93:AF93"/>
    <mergeCell ref="AG93:AI93"/>
    <mergeCell ref="AJ93:AK93"/>
    <mergeCell ref="AL94:AO94"/>
    <mergeCell ref="AP94:AU94"/>
    <mergeCell ref="AV94:AW94"/>
    <mergeCell ref="C94:E94"/>
    <mergeCell ref="F94:H94"/>
    <mergeCell ref="I94:R94"/>
    <mergeCell ref="S94:AD94"/>
    <mergeCell ref="AE94:AF94"/>
    <mergeCell ref="AG94:AI94"/>
    <mergeCell ref="AJ94:AK94"/>
    <mergeCell ref="AL95:AO95"/>
    <mergeCell ref="AP95:AU95"/>
    <mergeCell ref="AV95:AW95"/>
    <mergeCell ref="C95:E95"/>
    <mergeCell ref="F95:H95"/>
    <mergeCell ref="I95:R95"/>
    <mergeCell ref="S95:AD95"/>
    <mergeCell ref="AE95:AF95"/>
    <mergeCell ref="AG95:AI95"/>
    <mergeCell ref="AJ95:AK95"/>
    <mergeCell ref="AL96:AO96"/>
    <mergeCell ref="AP96:AU96"/>
    <mergeCell ref="AV96:AW96"/>
    <mergeCell ref="C96:E96"/>
    <mergeCell ref="F96:H96"/>
    <mergeCell ref="I96:R96"/>
    <mergeCell ref="S96:AD96"/>
    <mergeCell ref="AE96:AF96"/>
    <mergeCell ref="AG96:AI96"/>
    <mergeCell ref="AJ96:AK96"/>
    <mergeCell ref="AL97:AO97"/>
    <mergeCell ref="AP97:AU97"/>
    <mergeCell ref="AV97:AW97"/>
    <mergeCell ref="C97:E97"/>
    <mergeCell ref="F97:H97"/>
    <mergeCell ref="I97:R97"/>
    <mergeCell ref="S97:AD97"/>
    <mergeCell ref="AE97:AF97"/>
    <mergeCell ref="AG97:AI97"/>
    <mergeCell ref="AJ97:AK97"/>
    <mergeCell ref="AL98:AO98"/>
    <mergeCell ref="AP98:AU98"/>
    <mergeCell ref="AV98:AW98"/>
    <mergeCell ref="C98:E98"/>
    <mergeCell ref="F98:H98"/>
    <mergeCell ref="I98:R98"/>
    <mergeCell ref="S98:AD98"/>
    <mergeCell ref="AE98:AF98"/>
    <mergeCell ref="AG98:AI98"/>
    <mergeCell ref="AJ98:AK98"/>
    <mergeCell ref="AL99:AO99"/>
    <mergeCell ref="AP99:AU99"/>
    <mergeCell ref="AV99:AW99"/>
    <mergeCell ref="C99:E99"/>
    <mergeCell ref="F99:H99"/>
    <mergeCell ref="I99:R99"/>
    <mergeCell ref="S99:AD99"/>
    <mergeCell ref="AE99:AF99"/>
    <mergeCell ref="AG99:AI99"/>
    <mergeCell ref="AJ99:AK99"/>
    <mergeCell ref="AL100:AO100"/>
    <mergeCell ref="AP100:AU100"/>
    <mergeCell ref="AV100:AW100"/>
    <mergeCell ref="C100:E100"/>
    <mergeCell ref="F100:H100"/>
    <mergeCell ref="I100:R100"/>
    <mergeCell ref="S100:AD100"/>
    <mergeCell ref="AE100:AF100"/>
    <mergeCell ref="AG100:AI100"/>
    <mergeCell ref="AJ100:AK100"/>
    <mergeCell ref="AL101:AO101"/>
    <mergeCell ref="AP101:AU101"/>
    <mergeCell ref="AV101:AW101"/>
    <mergeCell ref="C101:E101"/>
    <mergeCell ref="F101:H101"/>
    <mergeCell ref="I101:R101"/>
    <mergeCell ref="S101:AD101"/>
    <mergeCell ref="AE101:AF101"/>
    <mergeCell ref="AG101:AI101"/>
    <mergeCell ref="AJ101:AK101"/>
    <mergeCell ref="AL102:AO102"/>
    <mergeCell ref="AP102:AU102"/>
    <mergeCell ref="AV102:AW102"/>
    <mergeCell ref="C102:E102"/>
    <mergeCell ref="F102:H102"/>
    <mergeCell ref="I102:R102"/>
    <mergeCell ref="S102:AD102"/>
    <mergeCell ref="AE102:AF102"/>
    <mergeCell ref="AG102:AI102"/>
    <mergeCell ref="AJ102:AK102"/>
    <mergeCell ref="AL103:AO103"/>
    <mergeCell ref="AP103:AU103"/>
    <mergeCell ref="AV103:AW103"/>
    <mergeCell ref="C103:E103"/>
    <mergeCell ref="F103:H103"/>
    <mergeCell ref="I103:R103"/>
    <mergeCell ref="S103:AD103"/>
    <mergeCell ref="AE103:AF103"/>
    <mergeCell ref="AG103:AI103"/>
    <mergeCell ref="AJ103:AK103"/>
    <mergeCell ref="AL104:AO104"/>
    <mergeCell ref="AP104:AU104"/>
    <mergeCell ref="AV104:AW104"/>
    <mergeCell ref="C104:E104"/>
    <mergeCell ref="F104:H104"/>
    <mergeCell ref="I104:R104"/>
    <mergeCell ref="S104:AD104"/>
    <mergeCell ref="AE104:AF104"/>
    <mergeCell ref="AG104:AI104"/>
    <mergeCell ref="AJ104:AK104"/>
    <mergeCell ref="AL105:AO105"/>
    <mergeCell ref="AP105:AU105"/>
    <mergeCell ref="AV105:AW105"/>
    <mergeCell ref="C105:E105"/>
    <mergeCell ref="F105:H105"/>
    <mergeCell ref="I105:R105"/>
    <mergeCell ref="S105:AD105"/>
    <mergeCell ref="AE105:AF105"/>
    <mergeCell ref="AG105:AI105"/>
    <mergeCell ref="AJ105:AK105"/>
    <mergeCell ref="AL106:AO106"/>
    <mergeCell ref="AP106:AU106"/>
    <mergeCell ref="AV106:AW106"/>
    <mergeCell ref="C106:E106"/>
    <mergeCell ref="F106:H106"/>
    <mergeCell ref="I106:R106"/>
    <mergeCell ref="S106:AD106"/>
    <mergeCell ref="AE106:AF106"/>
    <mergeCell ref="AG106:AI106"/>
    <mergeCell ref="AJ106:AK106"/>
    <mergeCell ref="AL107:AO107"/>
    <mergeCell ref="AP107:AU107"/>
    <mergeCell ref="AV107:AW107"/>
    <mergeCell ref="C107:E107"/>
    <mergeCell ref="F107:H107"/>
    <mergeCell ref="I107:R107"/>
    <mergeCell ref="S107:AD107"/>
    <mergeCell ref="AE107:AF107"/>
    <mergeCell ref="AG107:AI107"/>
    <mergeCell ref="AJ107:AK107"/>
    <mergeCell ref="AL108:AO108"/>
    <mergeCell ref="AP108:AU108"/>
    <mergeCell ref="AV108:AW108"/>
    <mergeCell ref="C108:E108"/>
    <mergeCell ref="F108:H108"/>
    <mergeCell ref="I108:R108"/>
    <mergeCell ref="S108:AD108"/>
    <mergeCell ref="AE108:AF108"/>
    <mergeCell ref="AG108:AI108"/>
    <mergeCell ref="AJ108:AK108"/>
    <mergeCell ref="AL109:AO109"/>
    <mergeCell ref="AP109:AU109"/>
    <mergeCell ref="AV109:AW109"/>
    <mergeCell ref="C109:E109"/>
    <mergeCell ref="F109:H109"/>
    <mergeCell ref="I109:R109"/>
    <mergeCell ref="S109:AD109"/>
    <mergeCell ref="AE109:AF109"/>
    <mergeCell ref="AG109:AI109"/>
    <mergeCell ref="AJ109:AK109"/>
    <mergeCell ref="AL110:AO110"/>
    <mergeCell ref="AP110:AU110"/>
    <mergeCell ref="AV110:AW110"/>
    <mergeCell ref="C110:E110"/>
    <mergeCell ref="F110:H110"/>
    <mergeCell ref="I110:R110"/>
    <mergeCell ref="S110:AD110"/>
    <mergeCell ref="AE110:AF110"/>
    <mergeCell ref="AG110:AI110"/>
    <mergeCell ref="AJ110:AK110"/>
    <mergeCell ref="AL111:AO111"/>
    <mergeCell ref="AP111:AU111"/>
    <mergeCell ref="AV111:AW111"/>
    <mergeCell ref="C111:E111"/>
    <mergeCell ref="F111:H111"/>
    <mergeCell ref="I111:R111"/>
    <mergeCell ref="S111:AD111"/>
    <mergeCell ref="AE111:AF111"/>
    <mergeCell ref="AG111:AI111"/>
    <mergeCell ref="AJ111:AK111"/>
    <mergeCell ref="AL112:AO112"/>
    <mergeCell ref="AP112:AU112"/>
    <mergeCell ref="AV112:AW112"/>
    <mergeCell ref="C112:E112"/>
    <mergeCell ref="F112:H112"/>
    <mergeCell ref="I112:R112"/>
    <mergeCell ref="S112:AD112"/>
    <mergeCell ref="AE112:AF112"/>
    <mergeCell ref="AG112:AI112"/>
    <mergeCell ref="AJ112:AK112"/>
    <mergeCell ref="AL113:AO113"/>
    <mergeCell ref="AP113:AU113"/>
    <mergeCell ref="AV113:AW113"/>
    <mergeCell ref="C113:E113"/>
    <mergeCell ref="F113:H113"/>
    <mergeCell ref="I113:R113"/>
    <mergeCell ref="S113:AD113"/>
    <mergeCell ref="AE113:AF113"/>
    <mergeCell ref="AG113:AI113"/>
    <mergeCell ref="AJ113:AK113"/>
    <mergeCell ref="AL114:AO114"/>
    <mergeCell ref="AP114:AU114"/>
    <mergeCell ref="AV114:AW114"/>
    <mergeCell ref="C114:E114"/>
    <mergeCell ref="F114:H114"/>
    <mergeCell ref="I114:R114"/>
    <mergeCell ref="S114:AD114"/>
    <mergeCell ref="AE114:AF114"/>
    <mergeCell ref="AG114:AI114"/>
    <mergeCell ref="AJ114:AK114"/>
    <mergeCell ref="AL115:AO115"/>
    <mergeCell ref="AP115:AU115"/>
    <mergeCell ref="AV115:AW115"/>
    <mergeCell ref="C115:E115"/>
    <mergeCell ref="F115:H115"/>
    <mergeCell ref="I115:R115"/>
    <mergeCell ref="S115:AD115"/>
    <mergeCell ref="AE115:AF115"/>
    <mergeCell ref="AG115:AI115"/>
    <mergeCell ref="AJ115:AK115"/>
    <mergeCell ref="AL116:AO116"/>
    <mergeCell ref="AP116:AU116"/>
    <mergeCell ref="AV116:AW116"/>
    <mergeCell ref="C116:E116"/>
    <mergeCell ref="F116:H116"/>
    <mergeCell ref="I116:R116"/>
    <mergeCell ref="S116:AD116"/>
    <mergeCell ref="AE116:AF116"/>
    <mergeCell ref="AG116:AI116"/>
    <mergeCell ref="AJ116:AK116"/>
    <mergeCell ref="AL117:AO117"/>
    <mergeCell ref="AP117:AU117"/>
    <mergeCell ref="AV117:AW117"/>
    <mergeCell ref="C117:E117"/>
    <mergeCell ref="F117:H117"/>
    <mergeCell ref="I117:R117"/>
    <mergeCell ref="S117:AD117"/>
    <mergeCell ref="AE117:AF117"/>
    <mergeCell ref="AG117:AI117"/>
    <mergeCell ref="AJ117:AK117"/>
    <mergeCell ref="AL118:AO118"/>
    <mergeCell ref="AP118:AU118"/>
    <mergeCell ref="AV118:AW118"/>
    <mergeCell ref="C118:E118"/>
    <mergeCell ref="F118:H118"/>
    <mergeCell ref="I118:R118"/>
    <mergeCell ref="S118:AD118"/>
    <mergeCell ref="AE118:AF118"/>
    <mergeCell ref="AG118:AI118"/>
    <mergeCell ref="AJ118:AK118"/>
    <mergeCell ref="AL119:AO119"/>
    <mergeCell ref="AP119:AU119"/>
    <mergeCell ref="AV119:AW119"/>
    <mergeCell ref="C119:E119"/>
    <mergeCell ref="F119:H119"/>
    <mergeCell ref="I119:R119"/>
    <mergeCell ref="S119:AD119"/>
    <mergeCell ref="AE119:AF119"/>
    <mergeCell ref="AG119:AI119"/>
    <mergeCell ref="AJ119:AK119"/>
    <mergeCell ref="AL120:AO120"/>
    <mergeCell ref="AP120:AU120"/>
    <mergeCell ref="AV120:AW120"/>
    <mergeCell ref="C120:E120"/>
    <mergeCell ref="F120:H120"/>
    <mergeCell ref="I120:R120"/>
    <mergeCell ref="S120:AD120"/>
    <mergeCell ref="AE120:AF120"/>
    <mergeCell ref="AG120:AI120"/>
    <mergeCell ref="AJ120:AK120"/>
    <mergeCell ref="AL121:AO121"/>
    <mergeCell ref="AP121:AU121"/>
    <mergeCell ref="AV121:AW121"/>
    <mergeCell ref="C121:E121"/>
    <mergeCell ref="F121:H121"/>
    <mergeCell ref="I121:R121"/>
    <mergeCell ref="S121:AD121"/>
    <mergeCell ref="AE121:AF121"/>
    <mergeCell ref="AG121:AI121"/>
    <mergeCell ref="AJ121:AK121"/>
    <mergeCell ref="AL122:AO122"/>
    <mergeCell ref="AP122:AU122"/>
    <mergeCell ref="AV122:AW122"/>
    <mergeCell ref="C122:E122"/>
    <mergeCell ref="F122:H122"/>
    <mergeCell ref="I122:R122"/>
    <mergeCell ref="S122:AD122"/>
    <mergeCell ref="AE122:AF122"/>
    <mergeCell ref="AG122:AI122"/>
    <mergeCell ref="AJ122:AK122"/>
    <mergeCell ref="AL123:AO123"/>
    <mergeCell ref="AP123:AU123"/>
    <mergeCell ref="AV123:AW123"/>
    <mergeCell ref="C123:E123"/>
    <mergeCell ref="F123:H123"/>
    <mergeCell ref="I123:R123"/>
    <mergeCell ref="S123:AD123"/>
    <mergeCell ref="AE123:AF123"/>
    <mergeCell ref="AG123:AI123"/>
    <mergeCell ref="AJ123:AK123"/>
    <mergeCell ref="AL124:AO124"/>
    <mergeCell ref="AP124:AU124"/>
    <mergeCell ref="AV124:AW124"/>
    <mergeCell ref="C124:E124"/>
    <mergeCell ref="F124:H124"/>
    <mergeCell ref="I124:R124"/>
    <mergeCell ref="S124:AD124"/>
    <mergeCell ref="AE124:AF124"/>
    <mergeCell ref="AG124:AI124"/>
    <mergeCell ref="AJ124:AK124"/>
    <mergeCell ref="AL125:AO125"/>
    <mergeCell ref="AP125:AU125"/>
    <mergeCell ref="AV125:AW125"/>
    <mergeCell ref="C125:E125"/>
    <mergeCell ref="F125:H125"/>
    <mergeCell ref="I125:R125"/>
    <mergeCell ref="S125:AD125"/>
    <mergeCell ref="AE125:AF125"/>
    <mergeCell ref="AG125:AI125"/>
    <mergeCell ref="AJ125:AK125"/>
    <mergeCell ref="AL126:AO126"/>
    <mergeCell ref="AP126:AU126"/>
    <mergeCell ref="AV126:AW126"/>
    <mergeCell ref="C126:E126"/>
    <mergeCell ref="F126:H126"/>
    <mergeCell ref="I126:R126"/>
    <mergeCell ref="S126:AD126"/>
    <mergeCell ref="AE126:AF126"/>
    <mergeCell ref="AG126:AI126"/>
    <mergeCell ref="AJ126:AK126"/>
    <mergeCell ref="AL127:AO127"/>
    <mergeCell ref="AP127:AU127"/>
    <mergeCell ref="AV127:AW127"/>
    <mergeCell ref="C127:E127"/>
    <mergeCell ref="F127:H127"/>
    <mergeCell ref="I127:R127"/>
    <mergeCell ref="S127:AD127"/>
    <mergeCell ref="AE127:AF127"/>
    <mergeCell ref="AG127:AI127"/>
    <mergeCell ref="AJ127:AK127"/>
    <mergeCell ref="AL128:AO128"/>
    <mergeCell ref="AP128:AU128"/>
    <mergeCell ref="AV128:AW128"/>
    <mergeCell ref="C128:E128"/>
    <mergeCell ref="F128:H128"/>
    <mergeCell ref="I128:R128"/>
    <mergeCell ref="S128:AD128"/>
    <mergeCell ref="AE128:AF128"/>
    <mergeCell ref="AG128:AI128"/>
    <mergeCell ref="AJ128:AK128"/>
    <mergeCell ref="AL129:AO129"/>
    <mergeCell ref="AP129:AU129"/>
    <mergeCell ref="AV129:AW129"/>
    <mergeCell ref="C129:E129"/>
    <mergeCell ref="F129:H129"/>
    <mergeCell ref="I129:R129"/>
    <mergeCell ref="S129:AD129"/>
    <mergeCell ref="AE129:AF129"/>
    <mergeCell ref="AG129:AI129"/>
    <mergeCell ref="AJ129:AK129"/>
    <mergeCell ref="AL130:AO130"/>
    <mergeCell ref="AP130:AU130"/>
    <mergeCell ref="AV130:AW130"/>
    <mergeCell ref="C130:E130"/>
    <mergeCell ref="F130:H130"/>
    <mergeCell ref="I130:R130"/>
    <mergeCell ref="S130:AD130"/>
    <mergeCell ref="AE130:AF130"/>
    <mergeCell ref="AG130:AI130"/>
    <mergeCell ref="AJ130:AK130"/>
    <mergeCell ref="AL131:AO131"/>
    <mergeCell ref="AP131:AU131"/>
    <mergeCell ref="AV131:AW131"/>
    <mergeCell ref="C131:E131"/>
    <mergeCell ref="F131:H131"/>
    <mergeCell ref="I131:R131"/>
    <mergeCell ref="S131:AD131"/>
    <mergeCell ref="AE131:AF131"/>
    <mergeCell ref="AG131:AI131"/>
    <mergeCell ref="AJ131:AK131"/>
    <mergeCell ref="AL132:AO132"/>
    <mergeCell ref="AP132:AU132"/>
    <mergeCell ref="AV132:AW132"/>
    <mergeCell ref="C132:E132"/>
    <mergeCell ref="F132:H132"/>
    <mergeCell ref="I132:R132"/>
    <mergeCell ref="S132:AD132"/>
    <mergeCell ref="AE132:AF132"/>
    <mergeCell ref="AG132:AI132"/>
    <mergeCell ref="AJ132:AK132"/>
    <mergeCell ref="AL133:AO133"/>
    <mergeCell ref="AP133:AU133"/>
    <mergeCell ref="AV133:AW133"/>
    <mergeCell ref="C133:E133"/>
    <mergeCell ref="F133:H133"/>
    <mergeCell ref="I133:R133"/>
    <mergeCell ref="S133:AD133"/>
    <mergeCell ref="AE133:AF133"/>
    <mergeCell ref="AG133:AI133"/>
    <mergeCell ref="AJ133:AK133"/>
    <mergeCell ref="AL134:AO134"/>
    <mergeCell ref="AP134:AU134"/>
    <mergeCell ref="AV134:AW134"/>
    <mergeCell ref="C134:E134"/>
    <mergeCell ref="F134:H134"/>
    <mergeCell ref="I134:R134"/>
    <mergeCell ref="S134:AD134"/>
    <mergeCell ref="AE134:AF134"/>
    <mergeCell ref="AG134:AI134"/>
    <mergeCell ref="AJ134:AK134"/>
    <mergeCell ref="AL135:AO135"/>
    <mergeCell ref="AP135:AU135"/>
    <mergeCell ref="AV135:AW135"/>
    <mergeCell ref="C135:E135"/>
    <mergeCell ref="F135:H135"/>
    <mergeCell ref="I135:R135"/>
    <mergeCell ref="S135:AD135"/>
    <mergeCell ref="AE135:AF135"/>
    <mergeCell ref="AG135:AI135"/>
    <mergeCell ref="AJ135:AK135"/>
    <mergeCell ref="AL136:AO136"/>
    <mergeCell ref="AP136:AU136"/>
    <mergeCell ref="AV136:AW136"/>
    <mergeCell ref="C136:E136"/>
    <mergeCell ref="F136:H136"/>
    <mergeCell ref="I136:R136"/>
    <mergeCell ref="S136:AD136"/>
    <mergeCell ref="AE136:AF136"/>
    <mergeCell ref="AG136:AI136"/>
    <mergeCell ref="AJ136:AK136"/>
    <mergeCell ref="AL137:AO137"/>
    <mergeCell ref="AP137:AU137"/>
    <mergeCell ref="AV137:AW137"/>
    <mergeCell ref="C137:E137"/>
    <mergeCell ref="F137:H137"/>
    <mergeCell ref="I137:R137"/>
    <mergeCell ref="S137:AD137"/>
    <mergeCell ref="AE137:AF137"/>
    <mergeCell ref="AG137:AI137"/>
    <mergeCell ref="AJ137:AK137"/>
    <mergeCell ref="AL138:AO138"/>
    <mergeCell ref="AP138:AU138"/>
    <mergeCell ref="AV138:AW138"/>
    <mergeCell ref="C138:E138"/>
    <mergeCell ref="F138:H138"/>
    <mergeCell ref="I138:R138"/>
    <mergeCell ref="S138:AD138"/>
    <mergeCell ref="AE138:AF138"/>
    <mergeCell ref="AG138:AI138"/>
    <mergeCell ref="AJ138:AK138"/>
    <mergeCell ref="AL139:AO139"/>
    <mergeCell ref="AP139:AU139"/>
    <mergeCell ref="AV139:AW139"/>
    <mergeCell ref="C139:E139"/>
    <mergeCell ref="F139:H139"/>
    <mergeCell ref="I139:R139"/>
    <mergeCell ref="S139:AD139"/>
    <mergeCell ref="AE139:AF139"/>
    <mergeCell ref="AG139:AI139"/>
    <mergeCell ref="AJ139:AK139"/>
    <mergeCell ref="AL140:AO140"/>
    <mergeCell ref="AP140:AU140"/>
    <mergeCell ref="AV140:AW140"/>
    <mergeCell ref="C140:E140"/>
    <mergeCell ref="F140:H140"/>
    <mergeCell ref="I140:R140"/>
    <mergeCell ref="S140:AD140"/>
    <mergeCell ref="AE140:AF140"/>
    <mergeCell ref="AG140:AI140"/>
    <mergeCell ref="AJ140:AK140"/>
    <mergeCell ref="AL141:AO141"/>
    <mergeCell ref="AP141:AU141"/>
    <mergeCell ref="AV141:AW141"/>
    <mergeCell ref="C141:E141"/>
    <mergeCell ref="F141:H141"/>
    <mergeCell ref="I141:R141"/>
    <mergeCell ref="S141:AD141"/>
    <mergeCell ref="AE141:AF141"/>
    <mergeCell ref="AG141:AI141"/>
    <mergeCell ref="AJ141:AK141"/>
    <mergeCell ref="AL142:AO142"/>
    <mergeCell ref="AP142:AU142"/>
    <mergeCell ref="AV142:AW142"/>
    <mergeCell ref="C142:E142"/>
    <mergeCell ref="F142:H142"/>
    <mergeCell ref="I142:R142"/>
    <mergeCell ref="S142:AD142"/>
    <mergeCell ref="AE142:AF142"/>
    <mergeCell ref="AG142:AI142"/>
    <mergeCell ref="AJ142:AK142"/>
    <mergeCell ref="AL143:AO143"/>
    <mergeCell ref="AP143:AU143"/>
    <mergeCell ref="AV143:AW143"/>
    <mergeCell ref="C143:E143"/>
    <mergeCell ref="F143:H143"/>
    <mergeCell ref="I143:R143"/>
    <mergeCell ref="S143:AD143"/>
    <mergeCell ref="AE143:AF143"/>
    <mergeCell ref="AG143:AI143"/>
    <mergeCell ref="AJ143:AK143"/>
    <mergeCell ref="AL144:AO144"/>
    <mergeCell ref="AP144:AU144"/>
    <mergeCell ref="AV144:AW144"/>
    <mergeCell ref="C144:E144"/>
    <mergeCell ref="F144:H144"/>
    <mergeCell ref="I144:R144"/>
    <mergeCell ref="S144:AD144"/>
    <mergeCell ref="AE144:AF144"/>
    <mergeCell ref="AG144:AI144"/>
    <mergeCell ref="AJ144:AK144"/>
    <mergeCell ref="AL145:AO145"/>
    <mergeCell ref="AP145:AU145"/>
    <mergeCell ref="AV145:AW145"/>
    <mergeCell ref="C145:E145"/>
    <mergeCell ref="F145:H145"/>
    <mergeCell ref="I145:R145"/>
    <mergeCell ref="S145:AD145"/>
    <mergeCell ref="AE145:AF145"/>
    <mergeCell ref="AG145:AI145"/>
    <mergeCell ref="AJ145:AK145"/>
    <mergeCell ref="AL146:AO146"/>
    <mergeCell ref="AP146:AU146"/>
    <mergeCell ref="AV146:AW146"/>
    <mergeCell ref="C146:E146"/>
    <mergeCell ref="F146:H146"/>
    <mergeCell ref="I146:R146"/>
    <mergeCell ref="S146:AD146"/>
    <mergeCell ref="AE146:AF146"/>
    <mergeCell ref="AG146:AI146"/>
    <mergeCell ref="AJ146:AK146"/>
    <mergeCell ref="AL147:AO147"/>
    <mergeCell ref="AP147:AU147"/>
    <mergeCell ref="AV147:AW147"/>
    <mergeCell ref="C147:E147"/>
    <mergeCell ref="F147:H147"/>
    <mergeCell ref="I147:R147"/>
    <mergeCell ref="S147:AD147"/>
    <mergeCell ref="AE147:AF147"/>
    <mergeCell ref="AG147:AI147"/>
    <mergeCell ref="AJ147:AK147"/>
    <mergeCell ref="AL148:AO148"/>
    <mergeCell ref="AP148:AU148"/>
    <mergeCell ref="AV148:AW148"/>
    <mergeCell ref="C148:E148"/>
    <mergeCell ref="F148:H148"/>
    <mergeCell ref="I148:R148"/>
    <mergeCell ref="S148:AD148"/>
    <mergeCell ref="AE148:AF148"/>
    <mergeCell ref="AG148:AI148"/>
    <mergeCell ref="AJ148:AK148"/>
    <mergeCell ref="AL149:AO149"/>
    <mergeCell ref="AP149:AU149"/>
    <mergeCell ref="AV149:AW149"/>
    <mergeCell ref="C149:E149"/>
    <mergeCell ref="F149:H149"/>
    <mergeCell ref="I149:R149"/>
    <mergeCell ref="S149:AD149"/>
    <mergeCell ref="AE149:AF149"/>
    <mergeCell ref="AG149:AI149"/>
    <mergeCell ref="AJ149:AK149"/>
    <mergeCell ref="AL150:AO150"/>
    <mergeCell ref="AP150:AU150"/>
    <mergeCell ref="AV150:AW150"/>
    <mergeCell ref="C150:E150"/>
    <mergeCell ref="F150:H150"/>
    <mergeCell ref="I150:R150"/>
    <mergeCell ref="S150:AD150"/>
    <mergeCell ref="AE150:AF150"/>
    <mergeCell ref="AG150:AI150"/>
    <mergeCell ref="AJ150:AK150"/>
    <mergeCell ref="AL151:AO151"/>
    <mergeCell ref="AP151:AU151"/>
    <mergeCell ref="AV151:AW151"/>
    <mergeCell ref="C151:E151"/>
    <mergeCell ref="F151:H151"/>
    <mergeCell ref="I151:R151"/>
    <mergeCell ref="S151:AD151"/>
    <mergeCell ref="AE151:AF151"/>
    <mergeCell ref="AG151:AI151"/>
    <mergeCell ref="AJ151:AK151"/>
    <mergeCell ref="AL152:AO152"/>
    <mergeCell ref="AP152:AU152"/>
    <mergeCell ref="AV152:AW152"/>
    <mergeCell ref="C152:E152"/>
    <mergeCell ref="F152:H152"/>
    <mergeCell ref="I152:R152"/>
    <mergeCell ref="S152:AD152"/>
    <mergeCell ref="AE152:AF152"/>
    <mergeCell ref="AG152:AI152"/>
    <mergeCell ref="AJ152:AK152"/>
    <mergeCell ref="AL153:AO153"/>
    <mergeCell ref="AP153:AU153"/>
    <mergeCell ref="AV153:AW153"/>
    <mergeCell ref="C153:E153"/>
    <mergeCell ref="F153:H153"/>
    <mergeCell ref="I153:R153"/>
    <mergeCell ref="S153:AD153"/>
    <mergeCell ref="AE153:AF153"/>
    <mergeCell ref="AG153:AI153"/>
    <mergeCell ref="AJ153:AK153"/>
    <mergeCell ref="AL154:AO154"/>
    <mergeCell ref="AP154:AU154"/>
    <mergeCell ref="AV154:AW154"/>
    <mergeCell ref="C154:E154"/>
    <mergeCell ref="F154:H154"/>
    <mergeCell ref="I154:R154"/>
    <mergeCell ref="S154:AD154"/>
    <mergeCell ref="AE154:AF154"/>
    <mergeCell ref="AG154:AI154"/>
    <mergeCell ref="AJ154:AK154"/>
    <mergeCell ref="AL155:AO155"/>
    <mergeCell ref="AP155:AU155"/>
    <mergeCell ref="AV155:AW155"/>
    <mergeCell ref="C155:E155"/>
    <mergeCell ref="F155:H155"/>
    <mergeCell ref="I155:R155"/>
    <mergeCell ref="S155:AD155"/>
    <mergeCell ref="AE155:AF155"/>
    <mergeCell ref="AG155:AI155"/>
    <mergeCell ref="AJ155:AK155"/>
    <mergeCell ref="AL156:AO156"/>
    <mergeCell ref="AP156:AU156"/>
    <mergeCell ref="AV156:AW156"/>
    <mergeCell ref="C156:E156"/>
    <mergeCell ref="F156:H156"/>
    <mergeCell ref="I156:R156"/>
    <mergeCell ref="S156:AD156"/>
    <mergeCell ref="AE156:AF156"/>
    <mergeCell ref="AG156:AI156"/>
    <mergeCell ref="AJ156:AK156"/>
    <mergeCell ref="AL157:AO157"/>
    <mergeCell ref="AP157:AU157"/>
    <mergeCell ref="AV157:AW157"/>
    <mergeCell ref="C157:E157"/>
    <mergeCell ref="F157:H157"/>
    <mergeCell ref="I157:R157"/>
    <mergeCell ref="S157:AD157"/>
    <mergeCell ref="AE157:AF157"/>
    <mergeCell ref="AG157:AI157"/>
    <mergeCell ref="AJ157:AK157"/>
    <mergeCell ref="AL158:AO158"/>
    <mergeCell ref="AP158:AU158"/>
    <mergeCell ref="AV158:AW158"/>
    <mergeCell ref="C158:E158"/>
    <mergeCell ref="F158:H158"/>
    <mergeCell ref="I158:R158"/>
    <mergeCell ref="S158:AD158"/>
    <mergeCell ref="AE158:AF158"/>
    <mergeCell ref="AG158:AI158"/>
    <mergeCell ref="AJ158:AK158"/>
    <mergeCell ref="AL159:AO159"/>
    <mergeCell ref="AP159:AU159"/>
    <mergeCell ref="AV159:AW159"/>
    <mergeCell ref="C159:E159"/>
    <mergeCell ref="F159:H159"/>
    <mergeCell ref="I159:R159"/>
    <mergeCell ref="S159:AD159"/>
    <mergeCell ref="AE159:AF159"/>
    <mergeCell ref="AG159:AI159"/>
    <mergeCell ref="AJ159:AK159"/>
    <mergeCell ref="AL160:AO160"/>
    <mergeCell ref="AP160:AU160"/>
    <mergeCell ref="AV160:AW160"/>
    <mergeCell ref="C160:E160"/>
    <mergeCell ref="F160:H160"/>
    <mergeCell ref="I160:R160"/>
    <mergeCell ref="S160:AD160"/>
    <mergeCell ref="AE160:AF160"/>
    <mergeCell ref="AG160:AI160"/>
    <mergeCell ref="AJ160:AK160"/>
    <mergeCell ref="AL161:AO161"/>
    <mergeCell ref="AP161:AU161"/>
    <mergeCell ref="AV161:AW161"/>
    <mergeCell ref="C161:E161"/>
    <mergeCell ref="F161:H161"/>
    <mergeCell ref="I161:R161"/>
    <mergeCell ref="S161:AD161"/>
    <mergeCell ref="AE161:AF161"/>
    <mergeCell ref="AG161:AI161"/>
    <mergeCell ref="AJ161:AK161"/>
    <mergeCell ref="AL162:AO162"/>
    <mergeCell ref="AP162:AU162"/>
    <mergeCell ref="AV162:AW162"/>
    <mergeCell ref="C162:E162"/>
    <mergeCell ref="F162:H162"/>
    <mergeCell ref="I162:R162"/>
    <mergeCell ref="S162:AD162"/>
    <mergeCell ref="AE162:AF162"/>
    <mergeCell ref="AG162:AI162"/>
    <mergeCell ref="AJ162:AK162"/>
    <mergeCell ref="AL163:AO163"/>
    <mergeCell ref="AP163:AU163"/>
    <mergeCell ref="AV163:AW163"/>
    <mergeCell ref="C163:E163"/>
    <mergeCell ref="F163:H163"/>
    <mergeCell ref="I163:R163"/>
    <mergeCell ref="S163:AD163"/>
    <mergeCell ref="AE163:AF163"/>
    <mergeCell ref="AG163:AI163"/>
    <mergeCell ref="AJ163:AK163"/>
    <mergeCell ref="AL164:AO164"/>
    <mergeCell ref="AP164:AU164"/>
    <mergeCell ref="AV164:AW164"/>
    <mergeCell ref="C164:E164"/>
    <mergeCell ref="F164:H164"/>
    <mergeCell ref="I164:R164"/>
    <mergeCell ref="S164:AD164"/>
    <mergeCell ref="AE164:AF164"/>
    <mergeCell ref="AG164:AI164"/>
    <mergeCell ref="AJ164:AK164"/>
    <mergeCell ref="AL165:AO165"/>
    <mergeCell ref="AP165:AU165"/>
    <mergeCell ref="AV165:AW165"/>
    <mergeCell ref="C165:E165"/>
    <mergeCell ref="F165:H165"/>
    <mergeCell ref="I165:R165"/>
    <mergeCell ref="S165:AD165"/>
    <mergeCell ref="AE165:AF165"/>
    <mergeCell ref="AG165:AI165"/>
    <mergeCell ref="AJ165:AK165"/>
    <mergeCell ref="AL166:AO166"/>
    <mergeCell ref="AP166:AU166"/>
    <mergeCell ref="AV166:AW166"/>
    <mergeCell ref="C166:E166"/>
    <mergeCell ref="F166:H166"/>
    <mergeCell ref="I166:R166"/>
    <mergeCell ref="S166:AD166"/>
    <mergeCell ref="AE166:AF166"/>
    <mergeCell ref="AG166:AI166"/>
    <mergeCell ref="AJ166:AK166"/>
    <mergeCell ref="AL167:AO167"/>
    <mergeCell ref="AP167:AU167"/>
    <mergeCell ref="AV167:AW167"/>
    <mergeCell ref="C167:E167"/>
    <mergeCell ref="F167:H167"/>
    <mergeCell ref="I167:R167"/>
    <mergeCell ref="S167:AD167"/>
    <mergeCell ref="AE167:AF167"/>
    <mergeCell ref="AG167:AI167"/>
    <mergeCell ref="AJ167:AK167"/>
    <mergeCell ref="AL168:AO168"/>
    <mergeCell ref="AP168:AU168"/>
    <mergeCell ref="AV168:AW168"/>
    <mergeCell ref="C168:E168"/>
    <mergeCell ref="F168:H168"/>
    <mergeCell ref="I168:R168"/>
    <mergeCell ref="S168:AD168"/>
    <mergeCell ref="AE168:AF168"/>
    <mergeCell ref="AG168:AI168"/>
    <mergeCell ref="AJ168:AK168"/>
    <mergeCell ref="AL169:AO169"/>
    <mergeCell ref="AP169:AU169"/>
    <mergeCell ref="AV169:AW169"/>
    <mergeCell ref="C169:E169"/>
    <mergeCell ref="F169:H169"/>
    <mergeCell ref="I169:R169"/>
    <mergeCell ref="S169:AD169"/>
    <mergeCell ref="AE169:AF169"/>
    <mergeCell ref="AG169:AI169"/>
    <mergeCell ref="AJ169:AK169"/>
    <mergeCell ref="AL170:AO170"/>
    <mergeCell ref="AP170:AU170"/>
    <mergeCell ref="AV170:AW170"/>
    <mergeCell ref="C170:E170"/>
    <mergeCell ref="F170:H170"/>
    <mergeCell ref="I170:R170"/>
    <mergeCell ref="S170:AD170"/>
    <mergeCell ref="AE170:AF170"/>
    <mergeCell ref="AG170:AI170"/>
    <mergeCell ref="AJ170:AK170"/>
    <mergeCell ref="AL171:AO171"/>
    <mergeCell ref="AP171:AU171"/>
    <mergeCell ref="AV171:AW171"/>
    <mergeCell ref="C171:E171"/>
    <mergeCell ref="F171:H171"/>
    <mergeCell ref="I171:R171"/>
    <mergeCell ref="S171:AD171"/>
    <mergeCell ref="AE171:AF171"/>
    <mergeCell ref="AG171:AI171"/>
    <mergeCell ref="AJ171:AK171"/>
    <mergeCell ref="AL172:AO172"/>
    <mergeCell ref="AP172:AU172"/>
    <mergeCell ref="AV172:AW172"/>
    <mergeCell ref="C172:E172"/>
    <mergeCell ref="F172:H172"/>
    <mergeCell ref="I172:R172"/>
    <mergeCell ref="S172:AD172"/>
    <mergeCell ref="AE172:AF172"/>
    <mergeCell ref="AG172:AI172"/>
    <mergeCell ref="AJ172:AK172"/>
    <mergeCell ref="AL173:AO173"/>
    <mergeCell ref="AP173:AU173"/>
    <mergeCell ref="AV173:AW173"/>
    <mergeCell ref="C173:E173"/>
    <mergeCell ref="F173:H173"/>
    <mergeCell ref="I173:R173"/>
    <mergeCell ref="S173:AD173"/>
    <mergeCell ref="AE173:AF173"/>
    <mergeCell ref="AG173:AI173"/>
    <mergeCell ref="AJ173:AK173"/>
    <mergeCell ref="AL174:AO174"/>
    <mergeCell ref="AP174:AU174"/>
    <mergeCell ref="AV174:AW174"/>
    <mergeCell ref="C174:E174"/>
    <mergeCell ref="F174:H174"/>
    <mergeCell ref="I174:R174"/>
    <mergeCell ref="S174:AD174"/>
    <mergeCell ref="AE174:AF174"/>
    <mergeCell ref="AG174:AI174"/>
    <mergeCell ref="AJ174:AK174"/>
    <mergeCell ref="AL175:AO175"/>
    <mergeCell ref="AP175:AU175"/>
    <mergeCell ref="AV175:AW175"/>
    <mergeCell ref="C175:E175"/>
    <mergeCell ref="F175:H175"/>
    <mergeCell ref="I175:R175"/>
    <mergeCell ref="S175:AD175"/>
    <mergeCell ref="AE175:AF175"/>
    <mergeCell ref="AG175:AI175"/>
    <mergeCell ref="AJ175:AK175"/>
    <mergeCell ref="AL176:AO176"/>
    <mergeCell ref="AP176:AU176"/>
    <mergeCell ref="AV176:AW176"/>
    <mergeCell ref="C176:E176"/>
    <mergeCell ref="F176:H176"/>
    <mergeCell ref="I176:R176"/>
    <mergeCell ref="S176:AD176"/>
    <mergeCell ref="AE176:AF176"/>
    <mergeCell ref="AG176:AI176"/>
    <mergeCell ref="AJ176:AK176"/>
    <mergeCell ref="AL177:AO177"/>
    <mergeCell ref="AP177:AU177"/>
    <mergeCell ref="AV177:AW177"/>
    <mergeCell ref="C177:E177"/>
    <mergeCell ref="F177:H177"/>
    <mergeCell ref="I177:R177"/>
    <mergeCell ref="S177:AD177"/>
    <mergeCell ref="AE177:AF177"/>
    <mergeCell ref="AG177:AI177"/>
    <mergeCell ref="AJ177:AK177"/>
    <mergeCell ref="AL178:AO178"/>
    <mergeCell ref="AP178:AU178"/>
    <mergeCell ref="AV178:AW178"/>
    <mergeCell ref="C178:E178"/>
    <mergeCell ref="F178:H178"/>
    <mergeCell ref="I178:R178"/>
    <mergeCell ref="S178:AD178"/>
    <mergeCell ref="AE178:AF178"/>
    <mergeCell ref="AG178:AI178"/>
    <mergeCell ref="AJ178:AK178"/>
    <mergeCell ref="AL179:AO179"/>
    <mergeCell ref="AP179:AU179"/>
    <mergeCell ref="AV179:AW179"/>
    <mergeCell ref="C179:E179"/>
    <mergeCell ref="F179:H179"/>
    <mergeCell ref="I179:R179"/>
    <mergeCell ref="S179:AD179"/>
    <mergeCell ref="AE179:AF179"/>
    <mergeCell ref="AG179:AI179"/>
    <mergeCell ref="AJ179:AK179"/>
    <mergeCell ref="AL180:AO180"/>
    <mergeCell ref="AP180:AU180"/>
    <mergeCell ref="AV180:AW180"/>
    <mergeCell ref="C180:E180"/>
    <mergeCell ref="F180:H180"/>
    <mergeCell ref="I180:R180"/>
    <mergeCell ref="S180:AD180"/>
    <mergeCell ref="AE180:AF180"/>
    <mergeCell ref="AG180:AI180"/>
    <mergeCell ref="AJ180:AK180"/>
    <mergeCell ref="AL181:AO181"/>
    <mergeCell ref="AP181:AU181"/>
    <mergeCell ref="AV181:AW181"/>
    <mergeCell ref="C181:E181"/>
    <mergeCell ref="F181:H181"/>
    <mergeCell ref="I181:R181"/>
    <mergeCell ref="S181:AD181"/>
    <mergeCell ref="AE181:AF181"/>
    <mergeCell ref="AG181:AI181"/>
    <mergeCell ref="AJ181:AK181"/>
    <mergeCell ref="AL182:AO182"/>
    <mergeCell ref="AP182:AU182"/>
    <mergeCell ref="AV182:AW182"/>
    <mergeCell ref="C182:E182"/>
    <mergeCell ref="F182:H182"/>
    <mergeCell ref="I182:R182"/>
    <mergeCell ref="S182:AD182"/>
    <mergeCell ref="AE182:AF182"/>
    <mergeCell ref="AG182:AI182"/>
    <mergeCell ref="AJ182:AK182"/>
    <mergeCell ref="AL183:AO183"/>
    <mergeCell ref="AP183:AU183"/>
    <mergeCell ref="AV183:AW183"/>
    <mergeCell ref="C183:E183"/>
    <mergeCell ref="F183:H183"/>
    <mergeCell ref="I183:R183"/>
    <mergeCell ref="S183:AD183"/>
    <mergeCell ref="AE183:AF183"/>
    <mergeCell ref="AG183:AI183"/>
    <mergeCell ref="AJ183:AK183"/>
    <mergeCell ref="AL184:AO184"/>
    <mergeCell ref="AP184:AU184"/>
    <mergeCell ref="AV184:AW184"/>
    <mergeCell ref="C184:E184"/>
    <mergeCell ref="F184:H184"/>
    <mergeCell ref="I184:R184"/>
    <mergeCell ref="S184:AD184"/>
    <mergeCell ref="AE184:AF184"/>
    <mergeCell ref="AG184:AI184"/>
    <mergeCell ref="AJ184:AK184"/>
    <mergeCell ref="AL185:AO185"/>
    <mergeCell ref="AP185:AU185"/>
    <mergeCell ref="AV185:AW185"/>
    <mergeCell ref="C185:E185"/>
    <mergeCell ref="F185:H185"/>
    <mergeCell ref="I185:R185"/>
    <mergeCell ref="S185:AD185"/>
    <mergeCell ref="AE185:AF185"/>
    <mergeCell ref="AG185:AI185"/>
    <mergeCell ref="AJ185:AK185"/>
    <mergeCell ref="AL186:AO186"/>
    <mergeCell ref="AP186:AU186"/>
    <mergeCell ref="AV186:AW186"/>
    <mergeCell ref="C186:E186"/>
    <mergeCell ref="F186:H186"/>
    <mergeCell ref="I186:R186"/>
    <mergeCell ref="S186:AD186"/>
    <mergeCell ref="AE186:AF186"/>
    <mergeCell ref="AG186:AI186"/>
    <mergeCell ref="AJ186:AK186"/>
    <mergeCell ref="AL187:AO187"/>
    <mergeCell ref="AP187:AU187"/>
    <mergeCell ref="AV187:AW187"/>
    <mergeCell ref="C187:E187"/>
    <mergeCell ref="F187:H187"/>
    <mergeCell ref="I187:R187"/>
    <mergeCell ref="S187:AD187"/>
    <mergeCell ref="AE187:AF187"/>
    <mergeCell ref="AG187:AI187"/>
    <mergeCell ref="AJ187:AK187"/>
    <mergeCell ref="AL188:AO188"/>
    <mergeCell ref="AP188:AU188"/>
    <mergeCell ref="AV188:AW188"/>
    <mergeCell ref="C188:E188"/>
    <mergeCell ref="F188:H188"/>
    <mergeCell ref="I188:R188"/>
    <mergeCell ref="S188:AD188"/>
    <mergeCell ref="AE188:AF188"/>
    <mergeCell ref="AG188:AI188"/>
    <mergeCell ref="AJ188:AK188"/>
    <mergeCell ref="AL189:AO189"/>
    <mergeCell ref="AP189:AU189"/>
    <mergeCell ref="AV189:AW189"/>
    <mergeCell ref="C189:E189"/>
    <mergeCell ref="F189:H189"/>
    <mergeCell ref="I189:R189"/>
    <mergeCell ref="S189:AD189"/>
    <mergeCell ref="AE189:AF189"/>
    <mergeCell ref="AG189:AI189"/>
    <mergeCell ref="AJ189:AK189"/>
    <mergeCell ref="AL190:AO190"/>
    <mergeCell ref="AP190:AU190"/>
    <mergeCell ref="AV190:AW190"/>
    <mergeCell ref="C190:E190"/>
    <mergeCell ref="F190:H190"/>
    <mergeCell ref="I190:R190"/>
    <mergeCell ref="S190:AD190"/>
    <mergeCell ref="AE190:AF190"/>
    <mergeCell ref="AG190:AI190"/>
    <mergeCell ref="AJ190:AK190"/>
    <mergeCell ref="AL191:AO191"/>
    <mergeCell ref="AP191:AU191"/>
    <mergeCell ref="AV191:AW191"/>
    <mergeCell ref="C191:E191"/>
    <mergeCell ref="F191:H191"/>
    <mergeCell ref="I191:R191"/>
    <mergeCell ref="S191:AD191"/>
    <mergeCell ref="AE191:AF191"/>
    <mergeCell ref="AG191:AI191"/>
    <mergeCell ref="AJ191:AK191"/>
    <mergeCell ref="AL192:AO192"/>
    <mergeCell ref="AP192:AU192"/>
    <mergeCell ref="AV192:AW192"/>
    <mergeCell ref="C192:E192"/>
    <mergeCell ref="F192:H192"/>
    <mergeCell ref="I192:R192"/>
    <mergeCell ref="S192:AD192"/>
    <mergeCell ref="AE192:AF192"/>
    <mergeCell ref="AG192:AI192"/>
    <mergeCell ref="AJ192:AK192"/>
    <mergeCell ref="AL193:AO193"/>
    <mergeCell ref="AP193:AU193"/>
    <mergeCell ref="AV193:AW193"/>
    <mergeCell ref="C193:E193"/>
    <mergeCell ref="F193:H193"/>
    <mergeCell ref="I193:R193"/>
    <mergeCell ref="S193:AD193"/>
    <mergeCell ref="AE193:AF193"/>
    <mergeCell ref="AG193:AI193"/>
    <mergeCell ref="AJ193:AK193"/>
    <mergeCell ref="AL194:AO194"/>
    <mergeCell ref="AP194:AU194"/>
    <mergeCell ref="AV194:AW194"/>
    <mergeCell ref="C194:E194"/>
    <mergeCell ref="F194:H194"/>
    <mergeCell ref="I194:R194"/>
    <mergeCell ref="S194:AD194"/>
    <mergeCell ref="AE194:AF194"/>
    <mergeCell ref="AG194:AI194"/>
    <mergeCell ref="AJ194:AK194"/>
    <mergeCell ref="AL195:AO195"/>
    <mergeCell ref="AP195:AU195"/>
    <mergeCell ref="AV195:AW195"/>
    <mergeCell ref="C195:E195"/>
    <mergeCell ref="F195:H195"/>
    <mergeCell ref="I195:R195"/>
    <mergeCell ref="S195:AD195"/>
    <mergeCell ref="AE195:AF195"/>
    <mergeCell ref="AG195:AI195"/>
    <mergeCell ref="AJ195:AK195"/>
    <mergeCell ref="AL196:AO196"/>
    <mergeCell ref="AP196:AU196"/>
    <mergeCell ref="AV196:AW196"/>
    <mergeCell ref="C196:E196"/>
    <mergeCell ref="F196:H196"/>
    <mergeCell ref="I196:R196"/>
    <mergeCell ref="S196:AD196"/>
    <mergeCell ref="AE196:AF196"/>
    <mergeCell ref="AG196:AI196"/>
    <mergeCell ref="AJ196:AK196"/>
    <mergeCell ref="AL197:AO197"/>
    <mergeCell ref="AP197:AU197"/>
    <mergeCell ref="AV197:AW197"/>
    <mergeCell ref="C197:E197"/>
    <mergeCell ref="F197:H197"/>
    <mergeCell ref="I197:R197"/>
    <mergeCell ref="S197:AD197"/>
    <mergeCell ref="AE197:AF197"/>
    <mergeCell ref="AG197:AI197"/>
    <mergeCell ref="AJ197:AK197"/>
    <mergeCell ref="AL198:AO198"/>
    <mergeCell ref="AP198:AU198"/>
    <mergeCell ref="AV198:AW198"/>
    <mergeCell ref="C198:E198"/>
    <mergeCell ref="F198:H198"/>
    <mergeCell ref="I198:R198"/>
    <mergeCell ref="S198:AD198"/>
    <mergeCell ref="AE198:AF198"/>
    <mergeCell ref="AG198:AI198"/>
    <mergeCell ref="AJ198:AK198"/>
    <mergeCell ref="AL199:AO199"/>
    <mergeCell ref="AP199:AU199"/>
    <mergeCell ref="AV199:AW199"/>
    <mergeCell ref="C199:E199"/>
    <mergeCell ref="F199:H199"/>
    <mergeCell ref="I199:R199"/>
    <mergeCell ref="S199:AD199"/>
    <mergeCell ref="AE199:AF199"/>
    <mergeCell ref="AG199:AI199"/>
    <mergeCell ref="AJ199:AK199"/>
    <mergeCell ref="AL200:AO200"/>
    <mergeCell ref="AP200:AU200"/>
    <mergeCell ref="AV200:AW200"/>
    <mergeCell ref="C200:E200"/>
    <mergeCell ref="F200:H200"/>
    <mergeCell ref="I200:R200"/>
    <mergeCell ref="S200:AD200"/>
    <mergeCell ref="AE200:AF200"/>
    <mergeCell ref="AG200:AI200"/>
    <mergeCell ref="AJ200:AK200"/>
    <mergeCell ref="AL201:AO201"/>
    <mergeCell ref="AP201:AU201"/>
    <mergeCell ref="AV201:AW201"/>
    <mergeCell ref="C201:E201"/>
    <mergeCell ref="F201:H201"/>
    <mergeCell ref="I201:R201"/>
    <mergeCell ref="S201:AD201"/>
    <mergeCell ref="AE201:AF201"/>
    <mergeCell ref="AG201:AI201"/>
    <mergeCell ref="AJ201:AK201"/>
    <mergeCell ref="AL202:AO202"/>
    <mergeCell ref="AP202:AU202"/>
    <mergeCell ref="AV202:AW202"/>
    <mergeCell ref="C202:E202"/>
    <mergeCell ref="F202:H202"/>
    <mergeCell ref="I202:R202"/>
    <mergeCell ref="S202:AD202"/>
    <mergeCell ref="AE202:AF202"/>
    <mergeCell ref="AG202:AI202"/>
    <mergeCell ref="AJ202:AK202"/>
    <mergeCell ref="AL203:AO203"/>
    <mergeCell ref="AP203:AU203"/>
    <mergeCell ref="AV203:AW203"/>
    <mergeCell ref="C203:E203"/>
    <mergeCell ref="F203:H203"/>
    <mergeCell ref="I203:R203"/>
    <mergeCell ref="S203:AD203"/>
    <mergeCell ref="AE203:AF203"/>
    <mergeCell ref="AG203:AI203"/>
    <mergeCell ref="AJ203:AK203"/>
    <mergeCell ref="AL204:AO204"/>
    <mergeCell ref="AP204:AU204"/>
    <mergeCell ref="AV204:AW204"/>
    <mergeCell ref="C204:E204"/>
    <mergeCell ref="F204:H204"/>
    <mergeCell ref="I204:R204"/>
    <mergeCell ref="S204:AD204"/>
    <mergeCell ref="AE204:AF204"/>
    <mergeCell ref="AG204:AI204"/>
    <mergeCell ref="AJ204:AK204"/>
    <mergeCell ref="AL205:AO205"/>
    <mergeCell ref="AP205:AU205"/>
    <mergeCell ref="AV205:AW205"/>
    <mergeCell ref="C205:E205"/>
    <mergeCell ref="F205:H205"/>
    <mergeCell ref="I205:R205"/>
    <mergeCell ref="S205:AD205"/>
    <mergeCell ref="AE205:AF205"/>
    <mergeCell ref="AG205:AI205"/>
    <mergeCell ref="AJ205:AK205"/>
    <mergeCell ref="AL206:AO206"/>
    <mergeCell ref="AP206:AU206"/>
    <mergeCell ref="AV206:AW206"/>
    <mergeCell ref="C206:E206"/>
    <mergeCell ref="F206:H206"/>
    <mergeCell ref="I206:R206"/>
    <mergeCell ref="S206:AD206"/>
    <mergeCell ref="AE206:AF206"/>
    <mergeCell ref="AG206:AI206"/>
    <mergeCell ref="AJ206:AK206"/>
    <mergeCell ref="AL207:AO207"/>
    <mergeCell ref="AP207:AU207"/>
    <mergeCell ref="AV207:AW207"/>
    <mergeCell ref="C207:E207"/>
    <mergeCell ref="F207:H207"/>
    <mergeCell ref="I207:R207"/>
    <mergeCell ref="S207:AD207"/>
    <mergeCell ref="AE207:AF207"/>
    <mergeCell ref="AG207:AI207"/>
    <mergeCell ref="AJ207:AK207"/>
    <mergeCell ref="AL208:AO208"/>
    <mergeCell ref="AP208:AU208"/>
    <mergeCell ref="AV208:AW208"/>
    <mergeCell ref="C208:E208"/>
    <mergeCell ref="F208:H208"/>
    <mergeCell ref="I208:R208"/>
    <mergeCell ref="S208:AD208"/>
    <mergeCell ref="AE208:AF208"/>
    <mergeCell ref="AG208:AI208"/>
    <mergeCell ref="AJ208:AK208"/>
    <mergeCell ref="AL209:AO209"/>
    <mergeCell ref="AP209:AU209"/>
    <mergeCell ref="AV209:AW209"/>
    <mergeCell ref="C209:E209"/>
    <mergeCell ref="F209:H209"/>
    <mergeCell ref="I209:R209"/>
    <mergeCell ref="S209:AD209"/>
    <mergeCell ref="AE209:AF209"/>
    <mergeCell ref="AG209:AI209"/>
    <mergeCell ref="AJ209:AK209"/>
    <mergeCell ref="AL210:AO210"/>
    <mergeCell ref="AP210:AU210"/>
    <mergeCell ref="AV210:AW210"/>
    <mergeCell ref="C210:E210"/>
    <mergeCell ref="F210:H210"/>
    <mergeCell ref="I210:R210"/>
    <mergeCell ref="S210:AD210"/>
    <mergeCell ref="AE210:AF210"/>
    <mergeCell ref="AG210:AI210"/>
    <mergeCell ref="AJ210:AK210"/>
    <mergeCell ref="AL211:AO211"/>
    <mergeCell ref="AP211:AU211"/>
    <mergeCell ref="AV211:AW211"/>
    <mergeCell ref="C211:E211"/>
    <mergeCell ref="F211:H211"/>
    <mergeCell ref="I211:R211"/>
    <mergeCell ref="S211:AD211"/>
    <mergeCell ref="AE211:AF211"/>
    <mergeCell ref="AG211:AI211"/>
    <mergeCell ref="AJ211:AK211"/>
    <mergeCell ref="AL212:AO212"/>
    <mergeCell ref="AP212:AU212"/>
    <mergeCell ref="AV212:AW212"/>
    <mergeCell ref="C212:E212"/>
    <mergeCell ref="F212:H212"/>
    <mergeCell ref="I212:R212"/>
    <mergeCell ref="S212:AD212"/>
    <mergeCell ref="AE212:AF212"/>
    <mergeCell ref="AG212:AI212"/>
    <mergeCell ref="AJ212:AK212"/>
    <mergeCell ref="AL213:AO213"/>
    <mergeCell ref="AP213:AU213"/>
    <mergeCell ref="AV213:AW213"/>
    <mergeCell ref="C213:E213"/>
    <mergeCell ref="F213:H213"/>
    <mergeCell ref="I213:R213"/>
    <mergeCell ref="S213:AD213"/>
    <mergeCell ref="AE213:AF213"/>
    <mergeCell ref="AG213:AI213"/>
    <mergeCell ref="AJ213:AK213"/>
    <mergeCell ref="AL214:AO214"/>
    <mergeCell ref="AP214:AU214"/>
    <mergeCell ref="AV214:AW214"/>
    <mergeCell ref="C214:E214"/>
    <mergeCell ref="F214:H214"/>
    <mergeCell ref="I214:R214"/>
    <mergeCell ref="S214:AD214"/>
    <mergeCell ref="AE214:AF214"/>
    <mergeCell ref="AG214:AI214"/>
    <mergeCell ref="AJ214:AK214"/>
    <mergeCell ref="AL215:AO215"/>
    <mergeCell ref="AP215:AU215"/>
    <mergeCell ref="AV215:AW215"/>
    <mergeCell ref="C215:E215"/>
    <mergeCell ref="F215:H215"/>
    <mergeCell ref="I215:R215"/>
    <mergeCell ref="S215:AD215"/>
    <mergeCell ref="AE215:AF215"/>
    <mergeCell ref="AG215:AI215"/>
    <mergeCell ref="AJ215:AK215"/>
    <mergeCell ref="AL216:AO216"/>
    <mergeCell ref="AP216:AU216"/>
    <mergeCell ref="AV216:AW216"/>
    <mergeCell ref="C216:E216"/>
    <mergeCell ref="F216:H216"/>
    <mergeCell ref="I216:R216"/>
    <mergeCell ref="S216:AD216"/>
    <mergeCell ref="AE216:AF216"/>
    <mergeCell ref="AG216:AI216"/>
    <mergeCell ref="AJ216:AK216"/>
    <mergeCell ref="AL217:AO217"/>
    <mergeCell ref="AP217:AU217"/>
    <mergeCell ref="AV217:AW217"/>
    <mergeCell ref="C217:E217"/>
    <mergeCell ref="F217:H217"/>
    <mergeCell ref="I217:R217"/>
    <mergeCell ref="S217:AD217"/>
    <mergeCell ref="AE217:AF217"/>
    <mergeCell ref="AG217:AI217"/>
    <mergeCell ref="AJ217:AK217"/>
    <mergeCell ref="AL218:AO218"/>
    <mergeCell ref="AP218:AU218"/>
    <mergeCell ref="AV218:AW218"/>
    <mergeCell ref="C218:E218"/>
    <mergeCell ref="F218:H218"/>
    <mergeCell ref="I218:R218"/>
    <mergeCell ref="S218:AD218"/>
    <mergeCell ref="AE218:AF218"/>
    <mergeCell ref="AG218:AI218"/>
    <mergeCell ref="AJ218:AK218"/>
    <mergeCell ref="AL219:AO219"/>
    <mergeCell ref="AP219:AU219"/>
    <mergeCell ref="AV219:AW219"/>
    <mergeCell ref="C219:E219"/>
    <mergeCell ref="F219:H219"/>
    <mergeCell ref="I219:R219"/>
    <mergeCell ref="S219:AD219"/>
    <mergeCell ref="AE219:AF219"/>
    <mergeCell ref="AG219:AI219"/>
    <mergeCell ref="AJ219:AK219"/>
    <mergeCell ref="AL220:AO220"/>
    <mergeCell ref="AP220:AU220"/>
    <mergeCell ref="AV220:AW220"/>
    <mergeCell ref="C220:E220"/>
    <mergeCell ref="F220:H220"/>
    <mergeCell ref="I220:R220"/>
    <mergeCell ref="S220:AD220"/>
    <mergeCell ref="AE220:AF220"/>
    <mergeCell ref="AG220:AI220"/>
    <mergeCell ref="AJ220:AK220"/>
    <mergeCell ref="AL221:AO221"/>
    <mergeCell ref="AP221:AU221"/>
    <mergeCell ref="AV221:AW221"/>
    <mergeCell ref="C221:E221"/>
    <mergeCell ref="F221:H221"/>
    <mergeCell ref="I221:R221"/>
    <mergeCell ref="S221:AD221"/>
    <mergeCell ref="AE221:AF221"/>
    <mergeCell ref="AG221:AI221"/>
    <mergeCell ref="AJ221:AK221"/>
    <mergeCell ref="AL222:AO222"/>
    <mergeCell ref="AP222:AU222"/>
    <mergeCell ref="AV222:AW222"/>
    <mergeCell ref="C222:E222"/>
    <mergeCell ref="F222:H222"/>
    <mergeCell ref="I222:R222"/>
    <mergeCell ref="S222:AD222"/>
    <mergeCell ref="AE222:AF222"/>
    <mergeCell ref="AG222:AI222"/>
    <mergeCell ref="AJ222:AK222"/>
    <mergeCell ref="AL223:AO223"/>
    <mergeCell ref="AP223:AU223"/>
    <mergeCell ref="AV223:AW223"/>
    <mergeCell ref="C223:E223"/>
    <mergeCell ref="F223:H223"/>
    <mergeCell ref="I223:R223"/>
    <mergeCell ref="S223:AD223"/>
    <mergeCell ref="AE223:AF223"/>
    <mergeCell ref="AG223:AI223"/>
    <mergeCell ref="AJ223:AK223"/>
    <mergeCell ref="AL224:AO224"/>
    <mergeCell ref="AP224:AU224"/>
    <mergeCell ref="AV224:AW224"/>
    <mergeCell ref="C224:E224"/>
    <mergeCell ref="F224:H224"/>
    <mergeCell ref="I224:R224"/>
    <mergeCell ref="S224:AD224"/>
    <mergeCell ref="AE224:AF224"/>
    <mergeCell ref="AG224:AI224"/>
    <mergeCell ref="AJ224:AK224"/>
    <mergeCell ref="AL225:AO225"/>
    <mergeCell ref="AP225:AU225"/>
    <mergeCell ref="AV225:AW225"/>
    <mergeCell ref="C225:E225"/>
    <mergeCell ref="F225:H225"/>
    <mergeCell ref="I225:R225"/>
    <mergeCell ref="S225:AD225"/>
    <mergeCell ref="AE225:AF225"/>
    <mergeCell ref="AG225:AI225"/>
    <mergeCell ref="AJ225:AK225"/>
    <mergeCell ref="AL226:AO226"/>
    <mergeCell ref="AP226:AU226"/>
    <mergeCell ref="AV226:AW226"/>
    <mergeCell ref="C226:E226"/>
    <mergeCell ref="F226:H226"/>
    <mergeCell ref="I226:R226"/>
    <mergeCell ref="S226:AD226"/>
    <mergeCell ref="AE226:AF226"/>
    <mergeCell ref="AG226:AI226"/>
    <mergeCell ref="AJ226:AK226"/>
    <mergeCell ref="AL227:AO227"/>
    <mergeCell ref="AP227:AU227"/>
    <mergeCell ref="AV227:AW227"/>
    <mergeCell ref="C227:E227"/>
    <mergeCell ref="F227:H227"/>
    <mergeCell ref="I227:R227"/>
    <mergeCell ref="S227:AD227"/>
    <mergeCell ref="AE227:AF227"/>
    <mergeCell ref="AG227:AI227"/>
    <mergeCell ref="AJ227:AK227"/>
    <mergeCell ref="AL228:AO228"/>
    <mergeCell ref="AP228:AU228"/>
    <mergeCell ref="AV228:AW228"/>
    <mergeCell ref="C228:E228"/>
    <mergeCell ref="F228:H228"/>
    <mergeCell ref="I228:R228"/>
    <mergeCell ref="S228:AD228"/>
    <mergeCell ref="AE228:AF228"/>
    <mergeCell ref="AG228:AI228"/>
    <mergeCell ref="AJ228:AK228"/>
    <mergeCell ref="AL229:AO229"/>
    <mergeCell ref="AP229:AU229"/>
    <mergeCell ref="AV229:AW229"/>
    <mergeCell ref="C229:E229"/>
    <mergeCell ref="F229:H229"/>
    <mergeCell ref="I229:R229"/>
    <mergeCell ref="S229:AD229"/>
    <mergeCell ref="AE229:AF229"/>
    <mergeCell ref="AG229:AI229"/>
    <mergeCell ref="AJ229:AK229"/>
    <mergeCell ref="AL230:AO230"/>
    <mergeCell ref="AP230:AU230"/>
    <mergeCell ref="AV230:AW230"/>
    <mergeCell ref="C230:E230"/>
    <mergeCell ref="F230:H230"/>
    <mergeCell ref="I230:R230"/>
    <mergeCell ref="S230:AD230"/>
    <mergeCell ref="AE230:AF230"/>
    <mergeCell ref="AG230:AI230"/>
    <mergeCell ref="AJ230:AK230"/>
    <mergeCell ref="AL231:AO231"/>
    <mergeCell ref="AP231:AU231"/>
    <mergeCell ref="AV231:AW231"/>
    <mergeCell ref="C231:E231"/>
    <mergeCell ref="F231:H231"/>
    <mergeCell ref="I231:R231"/>
    <mergeCell ref="S231:AD231"/>
    <mergeCell ref="AE231:AF231"/>
    <mergeCell ref="AG231:AI231"/>
    <mergeCell ref="AJ231:AK231"/>
    <mergeCell ref="AL232:AO232"/>
    <mergeCell ref="AP232:AU232"/>
    <mergeCell ref="AV232:AW232"/>
    <mergeCell ref="C232:E232"/>
    <mergeCell ref="F232:H232"/>
    <mergeCell ref="I232:R232"/>
    <mergeCell ref="S232:AD232"/>
    <mergeCell ref="AE232:AF232"/>
    <mergeCell ref="AG232:AI232"/>
    <mergeCell ref="AJ232:AK232"/>
    <mergeCell ref="AL233:AO233"/>
    <mergeCell ref="AP233:AU233"/>
    <mergeCell ref="AV233:AW233"/>
    <mergeCell ref="C233:E233"/>
    <mergeCell ref="F233:H233"/>
    <mergeCell ref="I233:R233"/>
    <mergeCell ref="S233:AD233"/>
    <mergeCell ref="AE233:AF233"/>
    <mergeCell ref="AG233:AI233"/>
    <mergeCell ref="AJ233:AK233"/>
    <mergeCell ref="AL234:AO234"/>
    <mergeCell ref="AP234:AU234"/>
    <mergeCell ref="AV234:AW234"/>
    <mergeCell ref="C234:E234"/>
    <mergeCell ref="F234:H234"/>
    <mergeCell ref="I234:R234"/>
    <mergeCell ref="S234:AD234"/>
    <mergeCell ref="AE234:AF234"/>
    <mergeCell ref="AG234:AI234"/>
    <mergeCell ref="AJ234:AK234"/>
    <mergeCell ref="AL235:AO235"/>
    <mergeCell ref="AP235:AU235"/>
    <mergeCell ref="AV235:AW235"/>
    <mergeCell ref="C235:E235"/>
    <mergeCell ref="F235:H235"/>
    <mergeCell ref="I235:R235"/>
    <mergeCell ref="S235:AD235"/>
    <mergeCell ref="AE235:AF235"/>
    <mergeCell ref="AG235:AI235"/>
    <mergeCell ref="AJ235:AK235"/>
    <mergeCell ref="AL236:AO236"/>
    <mergeCell ref="AP236:AU236"/>
    <mergeCell ref="AV236:AW236"/>
    <mergeCell ref="C236:E236"/>
    <mergeCell ref="F236:H236"/>
    <mergeCell ref="I236:R236"/>
    <mergeCell ref="S236:AD236"/>
    <mergeCell ref="AE236:AF236"/>
    <mergeCell ref="AG236:AI236"/>
    <mergeCell ref="AJ236:AK236"/>
    <mergeCell ref="AL237:AO237"/>
    <mergeCell ref="AP237:AU237"/>
    <mergeCell ref="AV237:AW237"/>
    <mergeCell ref="C237:E237"/>
    <mergeCell ref="F237:H237"/>
    <mergeCell ref="I237:R237"/>
    <mergeCell ref="S237:AD237"/>
    <mergeCell ref="AE237:AF237"/>
    <mergeCell ref="AG237:AI237"/>
    <mergeCell ref="AJ237:AK237"/>
    <mergeCell ref="AL238:AO238"/>
    <mergeCell ref="AP238:AU238"/>
    <mergeCell ref="AV238:AW238"/>
    <mergeCell ref="C238:E238"/>
    <mergeCell ref="F238:H238"/>
    <mergeCell ref="I238:R238"/>
    <mergeCell ref="S238:AD238"/>
    <mergeCell ref="AE238:AF238"/>
    <mergeCell ref="AG238:AI238"/>
    <mergeCell ref="AJ238:AK238"/>
    <mergeCell ref="AL239:AO239"/>
    <mergeCell ref="AP239:AU239"/>
    <mergeCell ref="AV239:AW239"/>
    <mergeCell ref="C239:E239"/>
    <mergeCell ref="F239:H239"/>
    <mergeCell ref="I239:R239"/>
    <mergeCell ref="S239:AD239"/>
    <mergeCell ref="AE239:AF239"/>
    <mergeCell ref="AG239:AI239"/>
    <mergeCell ref="AJ239:AK239"/>
    <mergeCell ref="AL240:AO240"/>
    <mergeCell ref="AP240:AU240"/>
    <mergeCell ref="AV240:AW240"/>
    <mergeCell ref="C240:E240"/>
    <mergeCell ref="F240:H240"/>
    <mergeCell ref="I240:R240"/>
    <mergeCell ref="S240:AD240"/>
    <mergeCell ref="AE240:AF240"/>
    <mergeCell ref="AG240:AI240"/>
    <mergeCell ref="AJ240:AK240"/>
    <mergeCell ref="AL241:AO241"/>
    <mergeCell ref="AP241:AU241"/>
    <mergeCell ref="AV241:AW241"/>
    <mergeCell ref="C241:E241"/>
    <mergeCell ref="F241:H241"/>
    <mergeCell ref="I241:R241"/>
    <mergeCell ref="S241:AD241"/>
    <mergeCell ref="AE241:AF241"/>
    <mergeCell ref="AG241:AI241"/>
    <mergeCell ref="AJ241:AK241"/>
    <mergeCell ref="AL242:AO242"/>
    <mergeCell ref="AP242:AU242"/>
    <mergeCell ref="AV242:AW242"/>
    <mergeCell ref="C242:E242"/>
    <mergeCell ref="F242:H242"/>
    <mergeCell ref="I242:R242"/>
    <mergeCell ref="S242:AD242"/>
    <mergeCell ref="AE242:AF242"/>
    <mergeCell ref="AG242:AI242"/>
    <mergeCell ref="AJ242:AK242"/>
    <mergeCell ref="AL243:AO243"/>
    <mergeCell ref="AP243:AU243"/>
    <mergeCell ref="AV243:AW243"/>
    <mergeCell ref="C243:E243"/>
    <mergeCell ref="F243:H243"/>
    <mergeCell ref="I243:R243"/>
    <mergeCell ref="S243:AD243"/>
    <mergeCell ref="AE243:AF243"/>
    <mergeCell ref="AG243:AI243"/>
    <mergeCell ref="AJ243:AK243"/>
    <mergeCell ref="AL244:AO244"/>
    <mergeCell ref="AP244:AU244"/>
    <mergeCell ref="AV244:AW244"/>
    <mergeCell ref="C244:E244"/>
    <mergeCell ref="F244:H244"/>
    <mergeCell ref="I244:R244"/>
    <mergeCell ref="S244:AD244"/>
    <mergeCell ref="AE244:AF244"/>
    <mergeCell ref="AG244:AI244"/>
    <mergeCell ref="AJ244:AK244"/>
    <mergeCell ref="AL245:AO245"/>
    <mergeCell ref="AP245:AU245"/>
    <mergeCell ref="AV245:AW245"/>
    <mergeCell ref="C245:E245"/>
    <mergeCell ref="F245:H245"/>
    <mergeCell ref="I245:R245"/>
    <mergeCell ref="S245:AD245"/>
    <mergeCell ref="AE245:AF245"/>
    <mergeCell ref="AG245:AI245"/>
    <mergeCell ref="AJ245:AK245"/>
    <mergeCell ref="AL246:AO246"/>
    <mergeCell ref="AP246:AU246"/>
    <mergeCell ref="AV246:AW246"/>
    <mergeCell ref="C246:E246"/>
    <mergeCell ref="F246:H246"/>
    <mergeCell ref="I246:R246"/>
    <mergeCell ref="S246:AD246"/>
    <mergeCell ref="AE246:AF246"/>
    <mergeCell ref="AG246:AI246"/>
    <mergeCell ref="AJ246:AK246"/>
    <mergeCell ref="AL247:AO247"/>
    <mergeCell ref="AP247:AU247"/>
    <mergeCell ref="AV247:AW247"/>
    <mergeCell ref="C247:E247"/>
    <mergeCell ref="F247:H247"/>
    <mergeCell ref="I247:R247"/>
    <mergeCell ref="S247:AD247"/>
    <mergeCell ref="AE247:AF247"/>
    <mergeCell ref="AG247:AI247"/>
    <mergeCell ref="AJ247:AK247"/>
    <mergeCell ref="AL248:AO248"/>
    <mergeCell ref="AP248:AU248"/>
    <mergeCell ref="AV248:AW248"/>
    <mergeCell ref="C248:E248"/>
    <mergeCell ref="F248:H248"/>
    <mergeCell ref="I248:R248"/>
    <mergeCell ref="S248:AD248"/>
    <mergeCell ref="AE248:AF248"/>
    <mergeCell ref="AG248:AI248"/>
    <mergeCell ref="AJ248:AK248"/>
    <mergeCell ref="AL249:AO249"/>
    <mergeCell ref="AP249:AU249"/>
    <mergeCell ref="AV249:AW249"/>
    <mergeCell ref="C249:E249"/>
    <mergeCell ref="F249:H249"/>
    <mergeCell ref="I249:R249"/>
    <mergeCell ref="S249:AD249"/>
    <mergeCell ref="AE249:AF249"/>
    <mergeCell ref="AG249:AI249"/>
    <mergeCell ref="AJ249:AK249"/>
    <mergeCell ref="AL250:AO250"/>
    <mergeCell ref="AP250:AU250"/>
    <mergeCell ref="AV250:AW250"/>
    <mergeCell ref="C250:E250"/>
    <mergeCell ref="F250:H250"/>
    <mergeCell ref="I250:R250"/>
    <mergeCell ref="S250:AD250"/>
    <mergeCell ref="AE250:AF250"/>
    <mergeCell ref="AG250:AI250"/>
    <mergeCell ref="AJ250:AK250"/>
    <mergeCell ref="AL251:AO251"/>
    <mergeCell ref="AP251:AU251"/>
    <mergeCell ref="AV251:AW251"/>
    <mergeCell ref="C251:E251"/>
    <mergeCell ref="F251:H251"/>
    <mergeCell ref="I251:R251"/>
    <mergeCell ref="S251:AD251"/>
    <mergeCell ref="AE251:AF251"/>
    <mergeCell ref="AG251:AI251"/>
    <mergeCell ref="AJ251:AK251"/>
    <mergeCell ref="AL252:AO252"/>
    <mergeCell ref="AP252:AU252"/>
    <mergeCell ref="AV252:AW252"/>
    <mergeCell ref="C252:E252"/>
    <mergeCell ref="F252:H252"/>
    <mergeCell ref="I252:R252"/>
    <mergeCell ref="S252:AD252"/>
    <mergeCell ref="AE252:AF252"/>
    <mergeCell ref="AG252:AI252"/>
    <mergeCell ref="AJ252:AK252"/>
    <mergeCell ref="AL253:AO253"/>
    <mergeCell ref="AP253:AU253"/>
    <mergeCell ref="AV253:AW253"/>
    <mergeCell ref="C253:E253"/>
    <mergeCell ref="F253:H253"/>
    <mergeCell ref="I253:R253"/>
    <mergeCell ref="S253:AD253"/>
    <mergeCell ref="AE253:AF253"/>
    <mergeCell ref="AG253:AI253"/>
    <mergeCell ref="AJ253:AK253"/>
    <mergeCell ref="AL254:AO254"/>
    <mergeCell ref="AP254:AU254"/>
    <mergeCell ref="AV254:AW254"/>
    <mergeCell ref="C254:E254"/>
    <mergeCell ref="F254:H254"/>
    <mergeCell ref="I254:R254"/>
    <mergeCell ref="S254:AD254"/>
    <mergeCell ref="AE254:AF254"/>
    <mergeCell ref="AG254:AI254"/>
    <mergeCell ref="AJ254:AK254"/>
    <mergeCell ref="AL255:AO255"/>
    <mergeCell ref="AP255:AU255"/>
    <mergeCell ref="AV255:AW255"/>
    <mergeCell ref="C255:E255"/>
    <mergeCell ref="F255:H255"/>
    <mergeCell ref="I255:R255"/>
    <mergeCell ref="S255:AD255"/>
    <mergeCell ref="AE255:AF255"/>
    <mergeCell ref="AG255:AI255"/>
    <mergeCell ref="AJ255:AK255"/>
    <mergeCell ref="AL256:AO256"/>
    <mergeCell ref="AP256:AU256"/>
    <mergeCell ref="AV256:AW256"/>
    <mergeCell ref="C256:E256"/>
    <mergeCell ref="F256:H256"/>
    <mergeCell ref="I256:R256"/>
    <mergeCell ref="S256:AD256"/>
    <mergeCell ref="AE256:AF256"/>
    <mergeCell ref="AG256:AI256"/>
    <mergeCell ref="AJ256:AK256"/>
    <mergeCell ref="AL257:AO257"/>
    <mergeCell ref="AP257:AU257"/>
    <mergeCell ref="AV257:AW257"/>
    <mergeCell ref="C257:E257"/>
    <mergeCell ref="F257:H257"/>
    <mergeCell ref="I257:R257"/>
    <mergeCell ref="S257:AD257"/>
    <mergeCell ref="AE257:AF257"/>
    <mergeCell ref="AG257:AI257"/>
    <mergeCell ref="AJ257:AK257"/>
    <mergeCell ref="AL258:AO258"/>
    <mergeCell ref="AP258:AU258"/>
    <mergeCell ref="AV258:AW258"/>
    <mergeCell ref="C258:E258"/>
    <mergeCell ref="F258:H258"/>
    <mergeCell ref="I258:R258"/>
    <mergeCell ref="S258:AD258"/>
    <mergeCell ref="AE258:AF258"/>
    <mergeCell ref="AG258:AI258"/>
    <mergeCell ref="AJ258:AK258"/>
    <mergeCell ref="AL259:AO259"/>
    <mergeCell ref="AP259:AU259"/>
    <mergeCell ref="AV259:AW259"/>
    <mergeCell ref="C259:E259"/>
    <mergeCell ref="F259:H259"/>
    <mergeCell ref="I259:R259"/>
    <mergeCell ref="S259:AD259"/>
    <mergeCell ref="AE259:AF259"/>
    <mergeCell ref="AG259:AI259"/>
    <mergeCell ref="AJ259:AK259"/>
    <mergeCell ref="AL260:AO260"/>
    <mergeCell ref="AP260:AU260"/>
    <mergeCell ref="AV260:AW260"/>
    <mergeCell ref="C260:E260"/>
    <mergeCell ref="F260:H260"/>
    <mergeCell ref="I260:R260"/>
    <mergeCell ref="S260:AD260"/>
    <mergeCell ref="AE260:AF260"/>
    <mergeCell ref="AG260:AI260"/>
    <mergeCell ref="AJ260:AK260"/>
    <mergeCell ref="AL261:AO261"/>
    <mergeCell ref="AP261:AU261"/>
    <mergeCell ref="AV261:AW261"/>
    <mergeCell ref="C261:E261"/>
    <mergeCell ref="F261:H261"/>
    <mergeCell ref="I261:R261"/>
    <mergeCell ref="S261:AD261"/>
    <mergeCell ref="AE261:AF261"/>
    <mergeCell ref="AG261:AI261"/>
    <mergeCell ref="AJ261:AK261"/>
    <mergeCell ref="AL262:AO262"/>
    <mergeCell ref="AP262:AU262"/>
    <mergeCell ref="AV262:AW262"/>
    <mergeCell ref="C262:E262"/>
    <mergeCell ref="F262:H262"/>
    <mergeCell ref="I262:R262"/>
    <mergeCell ref="S262:AD262"/>
    <mergeCell ref="AE262:AF262"/>
    <mergeCell ref="AG262:AI262"/>
    <mergeCell ref="AJ262:AK262"/>
    <mergeCell ref="AL263:AO263"/>
    <mergeCell ref="AP263:AU263"/>
    <mergeCell ref="AV263:AW263"/>
    <mergeCell ref="C263:E263"/>
    <mergeCell ref="F263:H263"/>
    <mergeCell ref="I263:R263"/>
    <mergeCell ref="S263:AD263"/>
    <mergeCell ref="AE263:AF263"/>
    <mergeCell ref="AG263:AI263"/>
    <mergeCell ref="AJ263:AK263"/>
    <mergeCell ref="AL264:AO264"/>
    <mergeCell ref="AP264:AU264"/>
    <mergeCell ref="AV264:AW264"/>
    <mergeCell ref="C264:E264"/>
    <mergeCell ref="F264:H264"/>
    <mergeCell ref="I264:R264"/>
    <mergeCell ref="S264:AD264"/>
    <mergeCell ref="AE264:AF264"/>
    <mergeCell ref="AG264:AI264"/>
    <mergeCell ref="AJ264:AK264"/>
    <mergeCell ref="AL265:AO265"/>
    <mergeCell ref="AP265:AU265"/>
    <mergeCell ref="AV265:AW265"/>
    <mergeCell ref="C265:E265"/>
    <mergeCell ref="F265:H265"/>
    <mergeCell ref="I265:R265"/>
    <mergeCell ref="S265:AD265"/>
    <mergeCell ref="AE265:AF265"/>
    <mergeCell ref="AG265:AI265"/>
    <mergeCell ref="AJ265:AK265"/>
    <mergeCell ref="AL266:AO266"/>
    <mergeCell ref="AP266:AU266"/>
    <mergeCell ref="AV266:AW266"/>
    <mergeCell ref="C266:E266"/>
    <mergeCell ref="F266:H266"/>
    <mergeCell ref="I266:R266"/>
    <mergeCell ref="S266:AD266"/>
    <mergeCell ref="AE266:AF266"/>
    <mergeCell ref="AG266:AI266"/>
    <mergeCell ref="AJ266:AK266"/>
    <mergeCell ref="AL267:AO267"/>
    <mergeCell ref="AP267:AU267"/>
    <mergeCell ref="AV267:AW267"/>
    <mergeCell ref="C267:E267"/>
    <mergeCell ref="F267:H267"/>
    <mergeCell ref="I267:R267"/>
    <mergeCell ref="S267:AD267"/>
    <mergeCell ref="AE267:AF267"/>
    <mergeCell ref="AG267:AI267"/>
    <mergeCell ref="AJ267:AK267"/>
    <mergeCell ref="AL268:AO268"/>
    <mergeCell ref="AP268:AU268"/>
    <mergeCell ref="AV268:AW268"/>
    <mergeCell ref="C268:E268"/>
    <mergeCell ref="F268:H268"/>
    <mergeCell ref="I268:R268"/>
    <mergeCell ref="S268:AD268"/>
    <mergeCell ref="AE268:AF268"/>
    <mergeCell ref="AG268:AI268"/>
    <mergeCell ref="AJ268:AK268"/>
    <mergeCell ref="AL269:AO269"/>
    <mergeCell ref="AP269:AU269"/>
    <mergeCell ref="AV269:AW269"/>
    <mergeCell ref="C269:E269"/>
    <mergeCell ref="F269:H269"/>
    <mergeCell ref="I269:R269"/>
    <mergeCell ref="S269:AD269"/>
    <mergeCell ref="AE269:AF269"/>
    <mergeCell ref="AG269:AI269"/>
    <mergeCell ref="AJ269:AK269"/>
    <mergeCell ref="AL270:AO270"/>
    <mergeCell ref="AP270:AU270"/>
    <mergeCell ref="AV270:AW270"/>
    <mergeCell ref="C270:E270"/>
    <mergeCell ref="F270:H270"/>
    <mergeCell ref="I270:R270"/>
    <mergeCell ref="S270:AD270"/>
    <mergeCell ref="AE270:AF270"/>
    <mergeCell ref="AG270:AI270"/>
    <mergeCell ref="AJ270:AK270"/>
    <mergeCell ref="AL271:AO271"/>
    <mergeCell ref="AP271:AU271"/>
    <mergeCell ref="AV271:AW271"/>
    <mergeCell ref="C271:E271"/>
    <mergeCell ref="F271:H271"/>
    <mergeCell ref="I271:R271"/>
    <mergeCell ref="S271:AD271"/>
    <mergeCell ref="AE271:AF271"/>
    <mergeCell ref="AG271:AI271"/>
    <mergeCell ref="AJ271:AK271"/>
    <mergeCell ref="AL272:AO272"/>
    <mergeCell ref="AP272:AU272"/>
    <mergeCell ref="AV272:AW272"/>
    <mergeCell ref="C272:E272"/>
    <mergeCell ref="F272:H272"/>
    <mergeCell ref="I272:R272"/>
    <mergeCell ref="S272:AD272"/>
    <mergeCell ref="AE272:AF272"/>
    <mergeCell ref="AG272:AI272"/>
    <mergeCell ref="AJ272:AK272"/>
    <mergeCell ref="AL273:AO273"/>
    <mergeCell ref="AP273:AU273"/>
    <mergeCell ref="AV273:AW273"/>
    <mergeCell ref="C273:E273"/>
    <mergeCell ref="F273:H273"/>
    <mergeCell ref="I273:R273"/>
    <mergeCell ref="S273:AD273"/>
    <mergeCell ref="AE273:AF273"/>
    <mergeCell ref="AG273:AI273"/>
    <mergeCell ref="AJ273:AK273"/>
    <mergeCell ref="AL274:AO274"/>
    <mergeCell ref="AP274:AU274"/>
    <mergeCell ref="AV274:AW274"/>
    <mergeCell ref="C274:E274"/>
    <mergeCell ref="F274:H274"/>
    <mergeCell ref="I274:R274"/>
    <mergeCell ref="S274:AD274"/>
    <mergeCell ref="AE274:AF274"/>
    <mergeCell ref="AG274:AI274"/>
    <mergeCell ref="AJ274:AK274"/>
    <mergeCell ref="AL275:AO275"/>
    <mergeCell ref="AP275:AU275"/>
    <mergeCell ref="AV275:AW275"/>
    <mergeCell ref="C275:E275"/>
    <mergeCell ref="F275:H275"/>
    <mergeCell ref="I275:R275"/>
    <mergeCell ref="S275:AD275"/>
    <mergeCell ref="AE275:AF275"/>
    <mergeCell ref="AG275:AI275"/>
    <mergeCell ref="AJ275:AK275"/>
    <mergeCell ref="AL276:AO276"/>
    <mergeCell ref="AP276:AU276"/>
    <mergeCell ref="AV276:AW276"/>
    <mergeCell ref="C276:E276"/>
    <mergeCell ref="F276:H276"/>
    <mergeCell ref="I276:R276"/>
    <mergeCell ref="S276:AD276"/>
    <mergeCell ref="AE276:AF276"/>
    <mergeCell ref="AG276:AI276"/>
    <mergeCell ref="AJ276:AK276"/>
    <mergeCell ref="AL277:AO277"/>
    <mergeCell ref="AP277:AU277"/>
    <mergeCell ref="AV277:AW277"/>
    <mergeCell ref="C277:E277"/>
    <mergeCell ref="F277:H277"/>
    <mergeCell ref="I277:R277"/>
    <mergeCell ref="S277:AD277"/>
    <mergeCell ref="AE277:AF277"/>
    <mergeCell ref="AG277:AI277"/>
    <mergeCell ref="AJ277:AK277"/>
    <mergeCell ref="AL278:AO278"/>
    <mergeCell ref="AP278:AU278"/>
    <mergeCell ref="AV278:AW278"/>
    <mergeCell ref="C278:E278"/>
    <mergeCell ref="F278:H278"/>
    <mergeCell ref="I278:R278"/>
    <mergeCell ref="S278:AD278"/>
    <mergeCell ref="AE278:AF278"/>
    <mergeCell ref="AG278:AI278"/>
    <mergeCell ref="AJ278:AK278"/>
    <mergeCell ref="AL279:AO279"/>
    <mergeCell ref="AP279:AU279"/>
    <mergeCell ref="AV279:AW279"/>
    <mergeCell ref="C279:E279"/>
    <mergeCell ref="F279:H279"/>
    <mergeCell ref="I279:R279"/>
    <mergeCell ref="S279:AD279"/>
    <mergeCell ref="AE279:AF279"/>
    <mergeCell ref="AG279:AI279"/>
    <mergeCell ref="AJ279:AK279"/>
    <mergeCell ref="AL280:AO280"/>
    <mergeCell ref="AP280:AU280"/>
    <mergeCell ref="AV280:AW280"/>
    <mergeCell ref="C280:E280"/>
    <mergeCell ref="F280:H280"/>
    <mergeCell ref="I280:R280"/>
    <mergeCell ref="S280:AD280"/>
    <mergeCell ref="AE280:AF280"/>
    <mergeCell ref="AG280:AI280"/>
    <mergeCell ref="AJ280:AK280"/>
    <mergeCell ref="AL281:AO281"/>
    <mergeCell ref="AP281:AU281"/>
    <mergeCell ref="AV281:AW281"/>
    <mergeCell ref="C281:E281"/>
    <mergeCell ref="F281:H281"/>
    <mergeCell ref="I281:R281"/>
    <mergeCell ref="S281:AD281"/>
    <mergeCell ref="AE281:AF281"/>
    <mergeCell ref="AG281:AI281"/>
    <mergeCell ref="AJ281:AK281"/>
    <mergeCell ref="AL282:AO282"/>
    <mergeCell ref="AP282:AU282"/>
    <mergeCell ref="AV282:AW282"/>
    <mergeCell ref="C282:E282"/>
    <mergeCell ref="F282:H282"/>
    <mergeCell ref="I282:R282"/>
    <mergeCell ref="S282:AD282"/>
    <mergeCell ref="AE282:AF282"/>
    <mergeCell ref="AG282:AI282"/>
    <mergeCell ref="AJ282:AK282"/>
    <mergeCell ref="AL283:AO283"/>
    <mergeCell ref="AP283:AU283"/>
    <mergeCell ref="AV283:AW283"/>
    <mergeCell ref="C283:E283"/>
    <mergeCell ref="F283:H283"/>
    <mergeCell ref="I283:R283"/>
    <mergeCell ref="S283:AD283"/>
    <mergeCell ref="AE283:AF283"/>
    <mergeCell ref="AG283:AI283"/>
    <mergeCell ref="AJ283:AK283"/>
    <mergeCell ref="AL284:AO284"/>
    <mergeCell ref="AP284:AU284"/>
    <mergeCell ref="AV284:AW284"/>
    <mergeCell ref="C284:E284"/>
    <mergeCell ref="F284:H284"/>
    <mergeCell ref="I284:R284"/>
    <mergeCell ref="S284:AD284"/>
    <mergeCell ref="AE284:AF284"/>
    <mergeCell ref="AG284:AI284"/>
    <mergeCell ref="AJ284:AK284"/>
    <mergeCell ref="AL285:AO285"/>
    <mergeCell ref="AP285:AU285"/>
    <mergeCell ref="AV285:AW285"/>
    <mergeCell ref="C285:E285"/>
    <mergeCell ref="F285:H285"/>
    <mergeCell ref="I285:R285"/>
    <mergeCell ref="S285:AD285"/>
    <mergeCell ref="AE285:AF285"/>
    <mergeCell ref="AG285:AI285"/>
    <mergeCell ref="AJ285:AK285"/>
    <mergeCell ref="AL286:AO286"/>
    <mergeCell ref="AP286:AU286"/>
    <mergeCell ref="AV286:AW286"/>
    <mergeCell ref="C286:E286"/>
    <mergeCell ref="F286:H286"/>
    <mergeCell ref="I286:R286"/>
    <mergeCell ref="S286:AD286"/>
    <mergeCell ref="AE286:AF286"/>
    <mergeCell ref="AG286:AI286"/>
    <mergeCell ref="AJ286:AK286"/>
    <mergeCell ref="AL287:AO287"/>
    <mergeCell ref="AP287:AU287"/>
    <mergeCell ref="AV287:AW287"/>
    <mergeCell ref="C287:E287"/>
    <mergeCell ref="F287:H287"/>
    <mergeCell ref="I287:R287"/>
    <mergeCell ref="S287:AD287"/>
    <mergeCell ref="AE287:AF287"/>
    <mergeCell ref="AG287:AI287"/>
    <mergeCell ref="AJ287:AK287"/>
    <mergeCell ref="AL288:AO288"/>
    <mergeCell ref="AP288:AU288"/>
    <mergeCell ref="AV288:AW288"/>
    <mergeCell ref="C288:E288"/>
    <mergeCell ref="F288:H288"/>
    <mergeCell ref="I288:R288"/>
    <mergeCell ref="S288:AD288"/>
    <mergeCell ref="AE288:AF288"/>
    <mergeCell ref="AG288:AI288"/>
    <mergeCell ref="AJ288:AK288"/>
    <mergeCell ref="AL289:AO289"/>
    <mergeCell ref="AP289:AU289"/>
    <mergeCell ref="AV289:AW289"/>
    <mergeCell ref="C289:E289"/>
    <mergeCell ref="F289:H289"/>
    <mergeCell ref="I289:R289"/>
    <mergeCell ref="S289:AD289"/>
    <mergeCell ref="AE289:AF289"/>
    <mergeCell ref="AG289:AI289"/>
    <mergeCell ref="AJ289:AK289"/>
    <mergeCell ref="AL290:AO290"/>
    <mergeCell ref="AP290:AU290"/>
    <mergeCell ref="AV290:AW290"/>
    <mergeCell ref="C290:E290"/>
    <mergeCell ref="F290:H290"/>
    <mergeCell ref="I290:R290"/>
    <mergeCell ref="S290:AD290"/>
    <mergeCell ref="AE290:AF290"/>
    <mergeCell ref="AG290:AI290"/>
    <mergeCell ref="AJ290:AK290"/>
    <mergeCell ref="AL291:AO291"/>
    <mergeCell ref="AP291:AU291"/>
    <mergeCell ref="AV291:AW291"/>
    <mergeCell ref="C291:E291"/>
    <mergeCell ref="F291:H291"/>
    <mergeCell ref="I291:R291"/>
    <mergeCell ref="S291:AD291"/>
    <mergeCell ref="AE291:AF291"/>
    <mergeCell ref="AG291:AI291"/>
    <mergeCell ref="AJ291:AK291"/>
    <mergeCell ref="AL292:AO292"/>
    <mergeCell ref="AP292:AU292"/>
    <mergeCell ref="AV292:AW292"/>
    <mergeCell ref="C292:E292"/>
    <mergeCell ref="F292:H292"/>
    <mergeCell ref="I292:R292"/>
    <mergeCell ref="S292:AD292"/>
    <mergeCell ref="AE292:AF292"/>
    <mergeCell ref="AG292:AI292"/>
    <mergeCell ref="AJ292:AK292"/>
    <mergeCell ref="AL293:AO293"/>
    <mergeCell ref="AP293:AU293"/>
    <mergeCell ref="AV293:AW293"/>
    <mergeCell ref="C293:E293"/>
    <mergeCell ref="F293:H293"/>
    <mergeCell ref="I293:R293"/>
    <mergeCell ref="S293:AD293"/>
    <mergeCell ref="AE293:AF293"/>
    <mergeCell ref="AG293:AI293"/>
    <mergeCell ref="AJ293:AK293"/>
    <mergeCell ref="AL294:AO294"/>
    <mergeCell ref="AP294:AU294"/>
    <mergeCell ref="AV294:AW294"/>
    <mergeCell ref="C294:E294"/>
    <mergeCell ref="F294:H294"/>
    <mergeCell ref="I294:R294"/>
    <mergeCell ref="S294:AD294"/>
    <mergeCell ref="AE294:AF294"/>
    <mergeCell ref="AG294:AI294"/>
    <mergeCell ref="AJ294:AK294"/>
    <mergeCell ref="AL295:AO295"/>
    <mergeCell ref="AP295:AU295"/>
    <mergeCell ref="AV295:AW295"/>
    <mergeCell ref="C295:E295"/>
    <mergeCell ref="F295:H295"/>
    <mergeCell ref="I295:R295"/>
    <mergeCell ref="S295:AD295"/>
    <mergeCell ref="AE295:AF295"/>
    <mergeCell ref="AG295:AI295"/>
    <mergeCell ref="AJ295:AK295"/>
    <mergeCell ref="AL296:AO296"/>
    <mergeCell ref="AP296:AU296"/>
    <mergeCell ref="AV296:AW296"/>
    <mergeCell ref="C296:E296"/>
    <mergeCell ref="F296:H296"/>
    <mergeCell ref="I296:R296"/>
    <mergeCell ref="S296:AD296"/>
    <mergeCell ref="AE296:AF296"/>
    <mergeCell ref="AG296:AI296"/>
    <mergeCell ref="AJ296:AK296"/>
    <mergeCell ref="AL297:AO297"/>
    <mergeCell ref="AP297:AU297"/>
    <mergeCell ref="AV297:AW297"/>
    <mergeCell ref="C297:E297"/>
    <mergeCell ref="F297:H297"/>
    <mergeCell ref="I297:R297"/>
    <mergeCell ref="S297:AD297"/>
    <mergeCell ref="AE297:AF297"/>
    <mergeCell ref="AG297:AI297"/>
    <mergeCell ref="AJ297:AK297"/>
    <mergeCell ref="AL298:AO298"/>
    <mergeCell ref="AP298:AU298"/>
    <mergeCell ref="AV298:AW298"/>
    <mergeCell ref="C298:E298"/>
    <mergeCell ref="F298:H298"/>
    <mergeCell ref="I298:R298"/>
    <mergeCell ref="S298:AD298"/>
    <mergeCell ref="AE298:AF298"/>
    <mergeCell ref="AG298:AI298"/>
    <mergeCell ref="AJ298:AK298"/>
    <mergeCell ref="AL299:AO299"/>
    <mergeCell ref="AP299:AU299"/>
    <mergeCell ref="AV299:AW299"/>
    <mergeCell ref="C299:E299"/>
    <mergeCell ref="F299:H299"/>
    <mergeCell ref="I299:R299"/>
    <mergeCell ref="S299:AD299"/>
    <mergeCell ref="AE299:AF299"/>
    <mergeCell ref="AG299:AI299"/>
    <mergeCell ref="AJ299:AK299"/>
    <mergeCell ref="AL300:AO300"/>
    <mergeCell ref="AP300:AU300"/>
    <mergeCell ref="AV300:AW300"/>
    <mergeCell ref="C300:E300"/>
    <mergeCell ref="F300:H300"/>
    <mergeCell ref="I300:R300"/>
    <mergeCell ref="S300:AD300"/>
    <mergeCell ref="AE300:AF300"/>
    <mergeCell ref="AG300:AI300"/>
    <mergeCell ref="AJ300:AK300"/>
    <mergeCell ref="AL301:AO301"/>
    <mergeCell ref="AP301:AU301"/>
    <mergeCell ref="AV301:AW301"/>
    <mergeCell ref="C301:E301"/>
    <mergeCell ref="F301:H301"/>
    <mergeCell ref="I301:R301"/>
    <mergeCell ref="S301:AD301"/>
    <mergeCell ref="AE301:AF301"/>
    <mergeCell ref="AG301:AI301"/>
    <mergeCell ref="AJ301:AK301"/>
    <mergeCell ref="AL302:AO302"/>
    <mergeCell ref="AP302:AU302"/>
    <mergeCell ref="AV302:AW302"/>
    <mergeCell ref="C302:E302"/>
    <mergeCell ref="F302:H302"/>
    <mergeCell ref="I302:R302"/>
    <mergeCell ref="S302:AD302"/>
    <mergeCell ref="AE302:AF302"/>
    <mergeCell ref="AG302:AI302"/>
    <mergeCell ref="AJ302:AK302"/>
    <mergeCell ref="AL303:AO303"/>
    <mergeCell ref="AP303:AU303"/>
    <mergeCell ref="AV303:AW303"/>
    <mergeCell ref="C303:E303"/>
    <mergeCell ref="F303:H303"/>
    <mergeCell ref="I303:R303"/>
    <mergeCell ref="S303:AD303"/>
    <mergeCell ref="AE303:AF303"/>
    <mergeCell ref="AG303:AI303"/>
    <mergeCell ref="AJ303:AK303"/>
    <mergeCell ref="AL304:AO304"/>
    <mergeCell ref="AP304:AU304"/>
    <mergeCell ref="AV304:AW304"/>
    <mergeCell ref="C304:E304"/>
    <mergeCell ref="F304:H304"/>
    <mergeCell ref="I304:R304"/>
    <mergeCell ref="S304:AD304"/>
    <mergeCell ref="AE304:AF304"/>
    <mergeCell ref="AG304:AI304"/>
    <mergeCell ref="AJ304:AK304"/>
    <mergeCell ref="AL305:AO305"/>
    <mergeCell ref="AP305:AU305"/>
    <mergeCell ref="AV305:AW305"/>
    <mergeCell ref="C305:E305"/>
    <mergeCell ref="F305:H305"/>
    <mergeCell ref="I305:R305"/>
    <mergeCell ref="S305:AD305"/>
    <mergeCell ref="AE305:AF305"/>
    <mergeCell ref="AG305:AI305"/>
    <mergeCell ref="AJ305:AK305"/>
    <mergeCell ref="AL306:AO306"/>
    <mergeCell ref="AP306:AU306"/>
    <mergeCell ref="AV306:AW306"/>
    <mergeCell ref="C306:E306"/>
    <mergeCell ref="F306:H306"/>
    <mergeCell ref="I306:R306"/>
    <mergeCell ref="S306:AD306"/>
    <mergeCell ref="AE306:AF306"/>
    <mergeCell ref="AG306:AI306"/>
    <mergeCell ref="AJ306:AK306"/>
    <mergeCell ref="AL307:AO307"/>
    <mergeCell ref="AP307:AU307"/>
    <mergeCell ref="AV307:AW307"/>
    <mergeCell ref="C307:E307"/>
    <mergeCell ref="F307:H307"/>
    <mergeCell ref="I307:R307"/>
    <mergeCell ref="S307:AD307"/>
    <mergeCell ref="AE307:AF307"/>
    <mergeCell ref="AG307:AI307"/>
    <mergeCell ref="AJ307:AK307"/>
    <mergeCell ref="AL308:AO308"/>
    <mergeCell ref="AP308:AU308"/>
    <mergeCell ref="AV308:AW308"/>
    <mergeCell ref="C308:E308"/>
    <mergeCell ref="F308:H308"/>
    <mergeCell ref="I308:R308"/>
    <mergeCell ref="S308:AD308"/>
    <mergeCell ref="AE308:AF308"/>
    <mergeCell ref="AG308:AI308"/>
    <mergeCell ref="AJ308:AK308"/>
    <mergeCell ref="AL309:AO309"/>
    <mergeCell ref="AP309:AU309"/>
    <mergeCell ref="AV309:AW309"/>
    <mergeCell ref="C309:E309"/>
    <mergeCell ref="F309:H309"/>
    <mergeCell ref="I309:R309"/>
    <mergeCell ref="S309:AD309"/>
    <mergeCell ref="AE309:AF309"/>
    <mergeCell ref="AG309:AI309"/>
    <mergeCell ref="AJ309:AK309"/>
    <mergeCell ref="AL310:AO310"/>
    <mergeCell ref="AP310:AU310"/>
    <mergeCell ref="AV310:AW310"/>
    <mergeCell ref="C310:E310"/>
    <mergeCell ref="F310:H310"/>
    <mergeCell ref="I310:R310"/>
    <mergeCell ref="S310:AD310"/>
    <mergeCell ref="AE310:AF310"/>
    <mergeCell ref="AG310:AI310"/>
    <mergeCell ref="AJ310:AK310"/>
    <mergeCell ref="AL311:AO311"/>
    <mergeCell ref="AP311:AU311"/>
    <mergeCell ref="AV311:AW311"/>
    <mergeCell ref="C311:E311"/>
    <mergeCell ref="F311:H311"/>
    <mergeCell ref="I311:R311"/>
    <mergeCell ref="S311:AD311"/>
    <mergeCell ref="AE311:AF311"/>
    <mergeCell ref="AG311:AI311"/>
    <mergeCell ref="AJ311:AK311"/>
    <mergeCell ref="AL312:AO312"/>
    <mergeCell ref="AP312:AU312"/>
    <mergeCell ref="AV312:AW312"/>
    <mergeCell ref="C312:E312"/>
    <mergeCell ref="F312:H312"/>
    <mergeCell ref="I312:R312"/>
    <mergeCell ref="S312:AD312"/>
    <mergeCell ref="AE312:AF312"/>
    <mergeCell ref="AG312:AI312"/>
    <mergeCell ref="AJ312:AK312"/>
    <mergeCell ref="AL313:AO313"/>
    <mergeCell ref="AP313:AU313"/>
    <mergeCell ref="AV313:AW313"/>
    <mergeCell ref="C313:E313"/>
    <mergeCell ref="F313:H313"/>
    <mergeCell ref="I313:R313"/>
    <mergeCell ref="S313:AD313"/>
    <mergeCell ref="AE313:AF313"/>
    <mergeCell ref="AG313:AI313"/>
    <mergeCell ref="AJ313:AK313"/>
    <mergeCell ref="AL314:AO314"/>
    <mergeCell ref="AP314:AU314"/>
    <mergeCell ref="AV314:AW314"/>
    <mergeCell ref="C314:E314"/>
    <mergeCell ref="F314:H314"/>
    <mergeCell ref="I314:R314"/>
    <mergeCell ref="S314:AD314"/>
    <mergeCell ref="AE314:AF314"/>
    <mergeCell ref="AG314:AI314"/>
    <mergeCell ref="AJ314:AK314"/>
    <mergeCell ref="AL315:AO315"/>
    <mergeCell ref="AP315:AU315"/>
    <mergeCell ref="AV315:AW315"/>
    <mergeCell ref="C315:E315"/>
    <mergeCell ref="F315:H315"/>
    <mergeCell ref="I315:R315"/>
    <mergeCell ref="S315:AD315"/>
    <mergeCell ref="AE315:AF315"/>
    <mergeCell ref="AG315:AI315"/>
    <mergeCell ref="AJ315:AK315"/>
    <mergeCell ref="AL316:AO316"/>
    <mergeCell ref="AP316:AU316"/>
    <mergeCell ref="AV316:AW316"/>
    <mergeCell ref="C316:E316"/>
    <mergeCell ref="F316:H316"/>
    <mergeCell ref="I316:R316"/>
    <mergeCell ref="S316:AD316"/>
    <mergeCell ref="AE316:AF316"/>
    <mergeCell ref="AG316:AI316"/>
    <mergeCell ref="AJ316:AK316"/>
    <mergeCell ref="AL317:AO317"/>
    <mergeCell ref="AP317:AU317"/>
    <mergeCell ref="AV317:AW317"/>
    <mergeCell ref="C317:E317"/>
    <mergeCell ref="F317:H317"/>
    <mergeCell ref="I317:R317"/>
    <mergeCell ref="S317:AD317"/>
    <mergeCell ref="AE317:AF317"/>
    <mergeCell ref="AG317:AI317"/>
    <mergeCell ref="AJ317:AK317"/>
    <mergeCell ref="AL318:AO318"/>
    <mergeCell ref="AP318:AU318"/>
    <mergeCell ref="AV318:AW318"/>
    <mergeCell ref="C318:E318"/>
    <mergeCell ref="F318:H318"/>
    <mergeCell ref="I318:R318"/>
    <mergeCell ref="S318:AD318"/>
    <mergeCell ref="AE318:AF318"/>
    <mergeCell ref="AG318:AI318"/>
    <mergeCell ref="AJ318:AK318"/>
    <mergeCell ref="AL319:AO319"/>
    <mergeCell ref="AP319:AU319"/>
    <mergeCell ref="AV319:AW319"/>
    <mergeCell ref="C319:E319"/>
    <mergeCell ref="F319:H319"/>
    <mergeCell ref="I319:R319"/>
    <mergeCell ref="S319:AD319"/>
    <mergeCell ref="AE319:AF319"/>
    <mergeCell ref="AG319:AI319"/>
    <mergeCell ref="AJ319:AK319"/>
    <mergeCell ref="AL320:AO320"/>
    <mergeCell ref="AP320:AU320"/>
    <mergeCell ref="AV320:AW320"/>
    <mergeCell ref="C320:E320"/>
    <mergeCell ref="F320:H320"/>
    <mergeCell ref="I320:R320"/>
    <mergeCell ref="S320:AD320"/>
    <mergeCell ref="AE320:AF320"/>
    <mergeCell ref="AG320:AI320"/>
    <mergeCell ref="AJ320:AK320"/>
    <mergeCell ref="AL321:AO321"/>
    <mergeCell ref="AP321:AU321"/>
    <mergeCell ref="AV321:AW321"/>
    <mergeCell ref="C321:E321"/>
    <mergeCell ref="F321:H321"/>
    <mergeCell ref="I321:R321"/>
    <mergeCell ref="S321:AD321"/>
    <mergeCell ref="AE321:AF321"/>
    <mergeCell ref="AG321:AI321"/>
    <mergeCell ref="AJ321:AK321"/>
    <mergeCell ref="AL322:AO322"/>
    <mergeCell ref="AP322:AU322"/>
    <mergeCell ref="AV322:AW322"/>
    <mergeCell ref="C322:E322"/>
    <mergeCell ref="F322:H322"/>
    <mergeCell ref="I322:R322"/>
    <mergeCell ref="S322:AD322"/>
    <mergeCell ref="AE322:AF322"/>
    <mergeCell ref="AG322:AI322"/>
    <mergeCell ref="AJ322:AK322"/>
    <mergeCell ref="AL323:AO323"/>
    <mergeCell ref="AP323:AU323"/>
    <mergeCell ref="AV323:AW323"/>
    <mergeCell ref="C323:E323"/>
    <mergeCell ref="F323:H323"/>
    <mergeCell ref="I323:R323"/>
    <mergeCell ref="S323:AD323"/>
    <mergeCell ref="AE323:AF323"/>
    <mergeCell ref="AG323:AI323"/>
    <mergeCell ref="AJ323:AK323"/>
    <mergeCell ref="AL324:AO324"/>
    <mergeCell ref="AP324:AU324"/>
    <mergeCell ref="AV324:AW324"/>
    <mergeCell ref="C324:E324"/>
    <mergeCell ref="F324:H324"/>
    <mergeCell ref="I324:R324"/>
    <mergeCell ref="S324:AD324"/>
    <mergeCell ref="AE324:AF324"/>
    <mergeCell ref="AG324:AI324"/>
    <mergeCell ref="AJ324:AK324"/>
    <mergeCell ref="AL325:AO325"/>
    <mergeCell ref="AP325:AU325"/>
    <mergeCell ref="AV325:AW325"/>
    <mergeCell ref="C325:E325"/>
    <mergeCell ref="F325:H325"/>
    <mergeCell ref="I325:R325"/>
    <mergeCell ref="S325:AD325"/>
    <mergeCell ref="AE325:AF325"/>
    <mergeCell ref="AG325:AI325"/>
    <mergeCell ref="AJ325:AK325"/>
    <mergeCell ref="AL326:AO326"/>
    <mergeCell ref="AP326:AU326"/>
    <mergeCell ref="AV326:AW326"/>
    <mergeCell ref="C326:E326"/>
    <mergeCell ref="F326:H326"/>
    <mergeCell ref="I326:R326"/>
    <mergeCell ref="S326:AD326"/>
    <mergeCell ref="AE326:AF326"/>
    <mergeCell ref="AG326:AI326"/>
    <mergeCell ref="AJ326:AK326"/>
    <mergeCell ref="AL327:AO327"/>
    <mergeCell ref="AP327:AU327"/>
    <mergeCell ref="AV327:AW327"/>
    <mergeCell ref="C327:E327"/>
    <mergeCell ref="F327:H327"/>
    <mergeCell ref="I327:R327"/>
    <mergeCell ref="S327:AD327"/>
    <mergeCell ref="AE327:AF327"/>
    <mergeCell ref="AG327:AI327"/>
    <mergeCell ref="AJ327:AK327"/>
    <mergeCell ref="AL328:AO328"/>
    <mergeCell ref="AP328:AU328"/>
    <mergeCell ref="AV328:AW328"/>
    <mergeCell ref="C328:E328"/>
    <mergeCell ref="F328:H328"/>
    <mergeCell ref="I328:R328"/>
    <mergeCell ref="S328:AD328"/>
    <mergeCell ref="AE328:AF328"/>
    <mergeCell ref="AG328:AI328"/>
    <mergeCell ref="AJ328:AK328"/>
    <mergeCell ref="AL329:AO329"/>
    <mergeCell ref="AP329:AU329"/>
    <mergeCell ref="AV329:AW329"/>
    <mergeCell ref="C329:E329"/>
    <mergeCell ref="F329:H329"/>
    <mergeCell ref="I329:R329"/>
    <mergeCell ref="S329:AD329"/>
    <mergeCell ref="AE329:AF329"/>
    <mergeCell ref="AG329:AI329"/>
    <mergeCell ref="AJ329:AK329"/>
    <mergeCell ref="AL330:AO330"/>
    <mergeCell ref="AP330:AU330"/>
    <mergeCell ref="AV330:AW330"/>
    <mergeCell ref="C330:E330"/>
    <mergeCell ref="F330:H330"/>
    <mergeCell ref="I330:R330"/>
    <mergeCell ref="S330:AD330"/>
    <mergeCell ref="AE330:AF330"/>
    <mergeCell ref="AG330:AI330"/>
    <mergeCell ref="AJ330:AK330"/>
    <mergeCell ref="AL331:AO331"/>
    <mergeCell ref="AP331:AU331"/>
    <mergeCell ref="AV331:AW331"/>
    <mergeCell ref="C331:E331"/>
    <mergeCell ref="F331:H331"/>
    <mergeCell ref="I331:R331"/>
    <mergeCell ref="S331:AD331"/>
    <mergeCell ref="AE331:AF331"/>
    <mergeCell ref="AG331:AI331"/>
    <mergeCell ref="AJ331:AK331"/>
    <mergeCell ref="AL332:AO332"/>
    <mergeCell ref="AP332:AU332"/>
    <mergeCell ref="AV332:AW332"/>
    <mergeCell ref="C332:E332"/>
    <mergeCell ref="F332:H332"/>
    <mergeCell ref="I332:R332"/>
    <mergeCell ref="S332:AD332"/>
    <mergeCell ref="AE332:AF332"/>
    <mergeCell ref="AG332:AI332"/>
    <mergeCell ref="AJ332:AK332"/>
    <mergeCell ref="AL333:AO333"/>
    <mergeCell ref="AP333:AU333"/>
    <mergeCell ref="AV333:AW333"/>
    <mergeCell ref="C333:E333"/>
    <mergeCell ref="F333:H333"/>
    <mergeCell ref="I333:R333"/>
    <mergeCell ref="S333:AD333"/>
    <mergeCell ref="AE333:AF333"/>
    <mergeCell ref="AG333:AI333"/>
    <mergeCell ref="AJ333:AK333"/>
    <mergeCell ref="AL334:AO334"/>
    <mergeCell ref="AP334:AU334"/>
    <mergeCell ref="AV334:AW334"/>
    <mergeCell ref="C334:E334"/>
    <mergeCell ref="F334:H334"/>
    <mergeCell ref="I334:R334"/>
    <mergeCell ref="S334:AD334"/>
    <mergeCell ref="AE334:AF334"/>
    <mergeCell ref="AG334:AI334"/>
    <mergeCell ref="AJ334:AK334"/>
    <mergeCell ref="AL335:AO335"/>
    <mergeCell ref="AP335:AU335"/>
    <mergeCell ref="AV335:AW335"/>
    <mergeCell ref="C335:E335"/>
    <mergeCell ref="F335:H335"/>
    <mergeCell ref="I335:R335"/>
    <mergeCell ref="S335:AD335"/>
    <mergeCell ref="AE335:AF335"/>
    <mergeCell ref="AG335:AI335"/>
    <mergeCell ref="AJ335:AK335"/>
    <mergeCell ref="AL336:AO336"/>
    <mergeCell ref="AP336:AU336"/>
    <mergeCell ref="AV336:AW336"/>
    <mergeCell ref="C336:E336"/>
    <mergeCell ref="F336:H336"/>
    <mergeCell ref="I336:R336"/>
    <mergeCell ref="S336:AD336"/>
    <mergeCell ref="AE336:AF336"/>
    <mergeCell ref="AG336:AI336"/>
    <mergeCell ref="AJ336:AK336"/>
    <mergeCell ref="AL337:AO337"/>
    <mergeCell ref="AP337:AU337"/>
    <mergeCell ref="AV337:AW337"/>
    <mergeCell ref="C337:E337"/>
    <mergeCell ref="F337:H337"/>
    <mergeCell ref="I337:R337"/>
    <mergeCell ref="S337:AD337"/>
    <mergeCell ref="AE337:AF337"/>
    <mergeCell ref="AG337:AI337"/>
    <mergeCell ref="AJ337:AK337"/>
    <mergeCell ref="AL338:AO338"/>
    <mergeCell ref="AP338:AU338"/>
    <mergeCell ref="AV338:AW338"/>
    <mergeCell ref="C338:E338"/>
    <mergeCell ref="F338:H338"/>
    <mergeCell ref="I338:R338"/>
    <mergeCell ref="S338:AD338"/>
    <mergeCell ref="AE338:AF338"/>
    <mergeCell ref="AG338:AI338"/>
    <mergeCell ref="AJ338:AK338"/>
    <mergeCell ref="AL339:AO339"/>
    <mergeCell ref="AP339:AU339"/>
    <mergeCell ref="AV339:AW339"/>
    <mergeCell ref="C339:E339"/>
    <mergeCell ref="F339:H339"/>
    <mergeCell ref="I339:R339"/>
    <mergeCell ref="S339:AD339"/>
    <mergeCell ref="AE339:AF339"/>
    <mergeCell ref="AG339:AI339"/>
    <mergeCell ref="AJ339:AK339"/>
    <mergeCell ref="AL340:AO340"/>
    <mergeCell ref="AP340:AU340"/>
    <mergeCell ref="AV340:AW340"/>
    <mergeCell ref="C340:E340"/>
    <mergeCell ref="F340:H340"/>
    <mergeCell ref="I340:R340"/>
    <mergeCell ref="S340:AD340"/>
    <mergeCell ref="AE340:AF340"/>
    <mergeCell ref="AG340:AI340"/>
    <mergeCell ref="AJ340:AK340"/>
    <mergeCell ref="AL341:AO341"/>
    <mergeCell ref="AP341:AU341"/>
    <mergeCell ref="AV341:AW341"/>
    <mergeCell ref="C341:E341"/>
    <mergeCell ref="F341:H341"/>
    <mergeCell ref="I341:R341"/>
    <mergeCell ref="S341:AD341"/>
    <mergeCell ref="AE341:AF341"/>
    <mergeCell ref="AG341:AI341"/>
    <mergeCell ref="AJ341:AK341"/>
    <mergeCell ref="AL342:AO342"/>
    <mergeCell ref="AP342:AU342"/>
    <mergeCell ref="AV342:AW342"/>
    <mergeCell ref="C342:E342"/>
    <mergeCell ref="F342:H342"/>
    <mergeCell ref="I342:R342"/>
    <mergeCell ref="S342:AD342"/>
    <mergeCell ref="AE342:AF342"/>
    <mergeCell ref="AG342:AI342"/>
    <mergeCell ref="AJ342:AK342"/>
    <mergeCell ref="AL343:AO343"/>
    <mergeCell ref="AP343:AU343"/>
    <mergeCell ref="AV343:AW343"/>
    <mergeCell ref="C343:E343"/>
    <mergeCell ref="F343:H343"/>
    <mergeCell ref="I343:R343"/>
    <mergeCell ref="S343:AD343"/>
    <mergeCell ref="AE343:AF343"/>
    <mergeCell ref="AG343:AI343"/>
    <mergeCell ref="AJ343:AK343"/>
    <mergeCell ref="AL344:AO344"/>
    <mergeCell ref="AP344:AU344"/>
    <mergeCell ref="AV344:AW344"/>
    <mergeCell ref="C344:E344"/>
    <mergeCell ref="F344:H344"/>
    <mergeCell ref="I344:R344"/>
    <mergeCell ref="S344:AD344"/>
    <mergeCell ref="AE344:AF344"/>
    <mergeCell ref="AG344:AI344"/>
    <mergeCell ref="AJ344:AK344"/>
    <mergeCell ref="AL345:AO345"/>
    <mergeCell ref="AP345:AU345"/>
    <mergeCell ref="AV345:AW345"/>
    <mergeCell ref="C345:E345"/>
    <mergeCell ref="F345:H345"/>
    <mergeCell ref="I345:R345"/>
    <mergeCell ref="S345:AD345"/>
    <mergeCell ref="AE345:AF345"/>
    <mergeCell ref="AG345:AI345"/>
    <mergeCell ref="AJ345:AK345"/>
    <mergeCell ref="AL346:AO346"/>
    <mergeCell ref="AP346:AU346"/>
    <mergeCell ref="AV346:AW346"/>
    <mergeCell ref="C346:E346"/>
    <mergeCell ref="F346:H346"/>
    <mergeCell ref="I346:R346"/>
    <mergeCell ref="S346:AD346"/>
    <mergeCell ref="AE346:AF346"/>
    <mergeCell ref="AG346:AI346"/>
    <mergeCell ref="AJ346:AK346"/>
    <mergeCell ref="AL347:AO347"/>
    <mergeCell ref="AP347:AU347"/>
    <mergeCell ref="AV347:AW347"/>
    <mergeCell ref="C347:E347"/>
    <mergeCell ref="F347:H347"/>
    <mergeCell ref="I347:R347"/>
    <mergeCell ref="S347:AD347"/>
    <mergeCell ref="AE347:AF347"/>
    <mergeCell ref="AG347:AI347"/>
    <mergeCell ref="AJ347:AK347"/>
  </mergeCells>
  <conditionalFormatting sqref="B3:E682">
    <cfRule type="timePeriod" dxfId="3" priority="1" timePeriod="today"/>
  </conditionalFormatting>
  <conditionalFormatting sqref="B3:E682">
    <cfRule type="expression" dxfId="4" priority="2">
      <formula>AND(ISNUMBER(B3),TRUNC(B3)&gt;TODAY())</formula>
    </cfRule>
  </conditionalFormatting>
  <dataValidations>
    <dataValidation type="list" allowBlank="1" showErrorMessage="1" sqref="AL609 AL612 AL639:AL682">
      <formula1>"FAB 2303,FAB 2312,FAB 2317,FAB 2318,FAB 2319,FAB 2330,FAB 2335,FAB 2337,FAB 2345,FAB 2347,FAB 2299,SML,FAB 2012,FAB 2017,FAB 2020,FAB 2704,FAB 2708,FAB 2719,FAB 2721,FAB 2722,FAB 2729,FAB 2728"</formula1>
    </dataValidation>
    <dataValidation type="list" allowBlank="1" showErrorMessage="1" sqref="AL3:AL455 AL457:AL608 AL610:AL611 AL613:AL638">
      <formula1>"FAB 2303,FAB 2312,FAB 2317,FAB 2318,FAB 2319,FAB 2330,FAB 2335,FAB 2345,FAB 2347,FAB 2299,SML,FAB 2012,FAB 2017,FAB 2020,FAB 2704,FAB 2708,FAB 2719,FAB 2721,FAB 2722,FAB 2729"</formula1>
    </dataValidation>
    <dataValidation type="list" allowBlank="1" showErrorMessage="1" sqref="AL456">
      <formula1>"FAB 2303,FAB 2312,FAB 2317,FAB 2318,FAB 2335,FAB 2347,FAB 2299,SML,FAB 2020,FAB 2719,FAB 2722,FAB 2729,FAB 2017,FAB 2318,FAB 2299"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3.25"/>
    <col customWidth="1" min="4" max="9" width="25.13"/>
    <col customWidth="1" min="10" max="10" width="3.25"/>
  </cols>
  <sheetData>
    <row r="1">
      <c r="A1" s="65" t="s">
        <v>1561</v>
      </c>
      <c r="B1" s="66"/>
      <c r="C1" s="66"/>
      <c r="D1" s="67"/>
      <c r="E1" s="67"/>
      <c r="F1" s="67"/>
      <c r="G1" s="67"/>
      <c r="H1" s="67"/>
      <c r="I1" s="67"/>
      <c r="J1" s="65" t="s">
        <v>1562</v>
      </c>
    </row>
    <row r="2">
      <c r="A2" s="66"/>
      <c r="B2" s="68"/>
      <c r="D2" s="69" t="s">
        <v>19</v>
      </c>
      <c r="E2" s="69" t="s">
        <v>20</v>
      </c>
      <c r="F2" s="69" t="s">
        <v>21</v>
      </c>
      <c r="G2" s="69" t="s">
        <v>1563</v>
      </c>
      <c r="H2" s="69" t="s">
        <v>1564</v>
      </c>
      <c r="I2" s="69" t="s">
        <v>1565</v>
      </c>
      <c r="J2" s="66"/>
    </row>
    <row r="3" hidden="1">
      <c r="A3" s="70"/>
      <c r="B3" s="71">
        <v>45517.0</v>
      </c>
      <c r="D3" s="72" t="s">
        <v>408</v>
      </c>
      <c r="E3" s="72" t="s">
        <v>1566</v>
      </c>
      <c r="F3" s="72" t="s">
        <v>1567</v>
      </c>
      <c r="G3" s="72" t="s">
        <v>1568</v>
      </c>
      <c r="H3" s="72" t="s">
        <v>1569</v>
      </c>
      <c r="I3" s="72"/>
      <c r="J3" s="70"/>
    </row>
    <row r="4" hidden="1">
      <c r="A4" s="70"/>
      <c r="B4" s="71">
        <v>45518.0</v>
      </c>
      <c r="D4" s="73" t="s">
        <v>408</v>
      </c>
      <c r="E4" s="72" t="s">
        <v>1570</v>
      </c>
      <c r="F4" s="72" t="s">
        <v>1571</v>
      </c>
      <c r="G4" s="73" t="s">
        <v>1568</v>
      </c>
      <c r="H4" s="72" t="s">
        <v>1572</v>
      </c>
      <c r="I4" s="72"/>
      <c r="J4" s="70"/>
    </row>
    <row r="5" hidden="1">
      <c r="A5" s="70"/>
      <c r="B5" s="71">
        <v>45519.0</v>
      </c>
      <c r="D5" s="72" t="s">
        <v>408</v>
      </c>
      <c r="E5" s="72" t="s">
        <v>1573</v>
      </c>
      <c r="F5" s="72" t="s">
        <v>1574</v>
      </c>
      <c r="G5" s="73" t="s">
        <v>1568</v>
      </c>
      <c r="H5" s="72" t="s">
        <v>1575</v>
      </c>
      <c r="I5" s="72"/>
      <c r="J5" s="70"/>
    </row>
    <row r="6" hidden="1">
      <c r="A6" s="70"/>
      <c r="B6" s="71">
        <v>45520.0</v>
      </c>
      <c r="D6" s="72" t="s">
        <v>408</v>
      </c>
      <c r="E6" s="72" t="s">
        <v>408</v>
      </c>
      <c r="F6" s="72" t="s">
        <v>1576</v>
      </c>
      <c r="G6" s="73" t="s">
        <v>1568</v>
      </c>
      <c r="H6" s="72" t="s">
        <v>1577</v>
      </c>
      <c r="I6" s="72"/>
      <c r="J6" s="70"/>
    </row>
    <row r="7" hidden="1">
      <c r="A7" s="70"/>
      <c r="B7" s="71">
        <v>45521.0</v>
      </c>
      <c r="D7" s="72" t="s">
        <v>408</v>
      </c>
      <c r="E7" s="72" t="s">
        <v>1578</v>
      </c>
      <c r="F7" s="72" t="s">
        <v>1579</v>
      </c>
      <c r="G7" s="73" t="s">
        <v>1568</v>
      </c>
      <c r="H7" s="72" t="s">
        <v>1572</v>
      </c>
      <c r="I7" s="72"/>
      <c r="J7" s="70"/>
    </row>
    <row r="8" hidden="1">
      <c r="A8" s="70"/>
      <c r="B8" s="71">
        <v>45522.0</v>
      </c>
      <c r="D8" s="72" t="s">
        <v>408</v>
      </c>
      <c r="E8" s="72" t="s">
        <v>1580</v>
      </c>
      <c r="F8" s="72" t="s">
        <v>1581</v>
      </c>
      <c r="G8" s="73" t="s">
        <v>1568</v>
      </c>
      <c r="H8" s="72" t="s">
        <v>1582</v>
      </c>
      <c r="I8" s="72"/>
      <c r="J8" s="70"/>
    </row>
    <row r="9" hidden="1">
      <c r="A9" s="70"/>
      <c r="B9" s="71">
        <v>45523.0</v>
      </c>
      <c r="D9" s="72" t="s">
        <v>408</v>
      </c>
      <c r="E9" s="72" t="s">
        <v>71</v>
      </c>
      <c r="F9" s="72" t="s">
        <v>1583</v>
      </c>
      <c r="G9" s="72" t="s">
        <v>1584</v>
      </c>
      <c r="H9" s="72" t="s">
        <v>1585</v>
      </c>
      <c r="I9" s="72"/>
      <c r="J9" s="70"/>
    </row>
    <row r="10" hidden="1">
      <c r="A10" s="70"/>
      <c r="B10" s="71">
        <v>45524.0</v>
      </c>
      <c r="D10" s="72" t="s">
        <v>408</v>
      </c>
      <c r="E10" s="72" t="s">
        <v>1586</v>
      </c>
      <c r="F10" s="72" t="s">
        <v>1587</v>
      </c>
      <c r="G10" s="72" t="s">
        <v>1584</v>
      </c>
      <c r="H10" s="72" t="s">
        <v>1582</v>
      </c>
      <c r="I10" s="72"/>
      <c r="J10" s="70"/>
    </row>
    <row r="11" hidden="1">
      <c r="A11" s="70"/>
      <c r="B11" s="71">
        <v>45525.0</v>
      </c>
      <c r="D11" s="72" t="s">
        <v>408</v>
      </c>
      <c r="E11" s="72" t="s">
        <v>1588</v>
      </c>
      <c r="F11" s="72" t="s">
        <v>1589</v>
      </c>
      <c r="G11" s="72" t="s">
        <v>1584</v>
      </c>
      <c r="H11" s="72" t="s">
        <v>1590</v>
      </c>
      <c r="I11" s="72"/>
      <c r="J11" s="70"/>
    </row>
    <row r="12" hidden="1">
      <c r="A12" s="70"/>
      <c r="B12" s="71">
        <v>45526.0</v>
      </c>
      <c r="D12" s="72" t="s">
        <v>408</v>
      </c>
      <c r="E12" s="72" t="s">
        <v>1591</v>
      </c>
      <c r="F12" s="72" t="s">
        <v>79</v>
      </c>
      <c r="G12" s="72" t="s">
        <v>1584</v>
      </c>
      <c r="H12" s="72" t="s">
        <v>1592</v>
      </c>
      <c r="I12" s="72"/>
      <c r="J12" s="70"/>
    </row>
    <row r="13" hidden="1">
      <c r="A13" s="70"/>
      <c r="B13" s="71">
        <v>45527.0</v>
      </c>
      <c r="D13" s="72" t="s">
        <v>408</v>
      </c>
      <c r="E13" s="72" t="s">
        <v>85</v>
      </c>
      <c r="F13" s="72" t="s">
        <v>1593</v>
      </c>
      <c r="G13" s="72" t="s">
        <v>1594</v>
      </c>
      <c r="H13" s="72" t="s">
        <v>1595</v>
      </c>
      <c r="I13" s="72"/>
      <c r="J13" s="70"/>
    </row>
    <row r="14" hidden="1">
      <c r="A14" s="70"/>
      <c r="B14" s="71">
        <v>45528.0</v>
      </c>
      <c r="D14" s="72" t="s">
        <v>408</v>
      </c>
      <c r="E14" s="72" t="s">
        <v>58</v>
      </c>
      <c r="F14" s="72" t="s">
        <v>517</v>
      </c>
      <c r="G14" s="72" t="s">
        <v>1594</v>
      </c>
      <c r="H14" s="72" t="s">
        <v>1596</v>
      </c>
      <c r="I14" s="72"/>
      <c r="J14" s="70"/>
    </row>
    <row r="15" hidden="1">
      <c r="A15" s="70"/>
      <c r="B15" s="71">
        <v>45529.0</v>
      </c>
      <c r="D15" s="72" t="s">
        <v>408</v>
      </c>
      <c r="E15" s="72" t="s">
        <v>408</v>
      </c>
      <c r="F15" s="72" t="s">
        <v>1597</v>
      </c>
      <c r="G15" s="72" t="s">
        <v>1594</v>
      </c>
      <c r="H15" s="72" t="s">
        <v>1590</v>
      </c>
      <c r="I15" s="72"/>
      <c r="J15" s="70"/>
    </row>
    <row r="16" hidden="1">
      <c r="A16" s="70"/>
      <c r="B16" s="71">
        <v>45530.0</v>
      </c>
      <c r="D16" s="72" t="s">
        <v>408</v>
      </c>
      <c r="E16" s="72" t="s">
        <v>1598</v>
      </c>
      <c r="F16" s="72" t="s">
        <v>1599</v>
      </c>
      <c r="G16" s="72" t="s">
        <v>1594</v>
      </c>
      <c r="H16" s="72" t="s">
        <v>1600</v>
      </c>
      <c r="I16" s="72"/>
      <c r="J16" s="70"/>
    </row>
    <row r="17" hidden="1">
      <c r="A17" s="70"/>
      <c r="B17" s="71">
        <v>45531.0</v>
      </c>
      <c r="D17" s="72" t="s">
        <v>408</v>
      </c>
      <c r="E17" s="72" t="s">
        <v>1601</v>
      </c>
      <c r="F17" s="72" t="s">
        <v>1602</v>
      </c>
      <c r="G17" s="72" t="s">
        <v>1603</v>
      </c>
      <c r="H17" s="72" t="s">
        <v>1604</v>
      </c>
      <c r="I17" s="72"/>
      <c r="J17" s="70"/>
    </row>
    <row r="18" hidden="1">
      <c r="A18" s="70"/>
      <c r="B18" s="71">
        <v>45532.0</v>
      </c>
      <c r="D18" s="72" t="s">
        <v>408</v>
      </c>
      <c r="E18" s="72" t="s">
        <v>1605</v>
      </c>
      <c r="F18" s="72" t="s">
        <v>1606</v>
      </c>
      <c r="G18" s="72" t="s">
        <v>1603</v>
      </c>
      <c r="H18" s="72" t="s">
        <v>1607</v>
      </c>
      <c r="I18" s="72"/>
      <c r="J18" s="70"/>
    </row>
    <row r="19" hidden="1">
      <c r="A19" s="70"/>
      <c r="B19" s="71">
        <v>45533.0</v>
      </c>
      <c r="D19" s="72" t="s">
        <v>1608</v>
      </c>
      <c r="E19" s="72" t="s">
        <v>1609</v>
      </c>
      <c r="F19" s="72" t="s">
        <v>1610</v>
      </c>
      <c r="G19" s="72" t="s">
        <v>1603</v>
      </c>
      <c r="H19" s="72" t="s">
        <v>1596</v>
      </c>
      <c r="I19" s="72"/>
      <c r="J19" s="70"/>
    </row>
    <row r="20" hidden="1">
      <c r="A20" s="70"/>
      <c r="B20" s="71">
        <v>45534.0</v>
      </c>
      <c r="D20" s="72" t="s">
        <v>1608</v>
      </c>
      <c r="E20" s="72" t="s">
        <v>1611</v>
      </c>
      <c r="F20" s="72" t="s">
        <v>219</v>
      </c>
      <c r="G20" s="72" t="s">
        <v>1603</v>
      </c>
      <c r="H20" s="72" t="s">
        <v>1612</v>
      </c>
      <c r="I20" s="72"/>
      <c r="J20" s="70"/>
    </row>
    <row r="21" hidden="1">
      <c r="A21" s="70"/>
      <c r="B21" s="71">
        <v>45535.0</v>
      </c>
      <c r="D21" s="72" t="s">
        <v>408</v>
      </c>
      <c r="E21" s="72" t="s">
        <v>1613</v>
      </c>
      <c r="F21" s="72" t="s">
        <v>408</v>
      </c>
      <c r="G21" s="72" t="s">
        <v>1603</v>
      </c>
      <c r="H21" s="72" t="s">
        <v>1600</v>
      </c>
      <c r="I21" s="72"/>
      <c r="J21" s="70"/>
    </row>
    <row r="22" hidden="1">
      <c r="A22" s="74"/>
      <c r="B22" s="71">
        <v>45536.0</v>
      </c>
      <c r="D22" s="72" t="s">
        <v>408</v>
      </c>
      <c r="E22" s="75" t="s">
        <v>1614</v>
      </c>
      <c r="F22" s="72" t="s">
        <v>408</v>
      </c>
      <c r="G22" s="72" t="s">
        <v>1603</v>
      </c>
      <c r="H22" s="76" t="s">
        <v>1615</v>
      </c>
      <c r="I22" s="76"/>
      <c r="J22" s="74"/>
    </row>
    <row r="23" hidden="1">
      <c r="A23" s="74"/>
      <c r="B23" s="71">
        <v>45537.0</v>
      </c>
      <c r="D23" s="72" t="s">
        <v>1608</v>
      </c>
      <c r="E23" s="75" t="s">
        <v>1616</v>
      </c>
      <c r="F23" s="75" t="s">
        <v>1617</v>
      </c>
      <c r="G23" s="72" t="s">
        <v>1603</v>
      </c>
      <c r="H23" s="76" t="s">
        <v>1618</v>
      </c>
      <c r="I23" s="76"/>
      <c r="J23" s="74"/>
    </row>
    <row r="24" hidden="1">
      <c r="A24" s="74"/>
      <c r="B24" s="71">
        <v>45538.0</v>
      </c>
      <c r="D24" s="72" t="s">
        <v>113</v>
      </c>
      <c r="E24" s="75" t="s">
        <v>1619</v>
      </c>
      <c r="F24" s="75" t="s">
        <v>1620</v>
      </c>
      <c r="G24" s="75" t="s">
        <v>1621</v>
      </c>
      <c r="H24" s="76" t="s">
        <v>1622</v>
      </c>
      <c r="I24" s="76"/>
      <c r="J24" s="74"/>
    </row>
    <row r="25" hidden="1">
      <c r="A25" s="74"/>
      <c r="B25" s="71">
        <v>45539.0</v>
      </c>
      <c r="D25" s="72" t="s">
        <v>113</v>
      </c>
      <c r="E25" s="75" t="s">
        <v>1623</v>
      </c>
      <c r="F25" s="75" t="s">
        <v>1624</v>
      </c>
      <c r="G25" s="75" t="s">
        <v>1621</v>
      </c>
      <c r="H25" s="76" t="s">
        <v>1615</v>
      </c>
      <c r="I25" s="76"/>
      <c r="J25" s="74"/>
    </row>
    <row r="26" hidden="1">
      <c r="A26" s="74"/>
      <c r="B26" s="71">
        <v>45540.0</v>
      </c>
      <c r="D26" s="72" t="s">
        <v>113</v>
      </c>
      <c r="E26" s="75" t="s">
        <v>1625</v>
      </c>
      <c r="F26" s="75" t="s">
        <v>1626</v>
      </c>
      <c r="G26" s="75" t="s">
        <v>1621</v>
      </c>
      <c r="H26" s="76" t="s">
        <v>1600</v>
      </c>
      <c r="I26" s="76"/>
      <c r="J26" s="74"/>
    </row>
    <row r="27" hidden="1">
      <c r="A27" s="74"/>
      <c r="B27" s="71">
        <v>45541.0</v>
      </c>
      <c r="D27" s="72" t="s">
        <v>113</v>
      </c>
      <c r="E27" s="75" t="s">
        <v>1627</v>
      </c>
      <c r="F27" s="75" t="s">
        <v>1628</v>
      </c>
      <c r="G27" s="75" t="s">
        <v>1621</v>
      </c>
      <c r="H27" s="76" t="s">
        <v>1629</v>
      </c>
      <c r="I27" s="76"/>
      <c r="J27" s="74"/>
    </row>
    <row r="28" hidden="1">
      <c r="A28" s="77" t="s">
        <v>1630</v>
      </c>
      <c r="B28" s="71">
        <v>45542.0</v>
      </c>
      <c r="D28" s="75" t="s">
        <v>1631</v>
      </c>
      <c r="E28" s="75" t="s">
        <v>138</v>
      </c>
      <c r="F28" s="75" t="s">
        <v>1632</v>
      </c>
      <c r="G28" s="75" t="s">
        <v>1621</v>
      </c>
      <c r="H28" s="76" t="s">
        <v>1633</v>
      </c>
      <c r="I28" s="76"/>
      <c r="J28" s="77" t="s">
        <v>1630</v>
      </c>
    </row>
    <row r="29" hidden="1">
      <c r="A29" s="74"/>
      <c r="B29" s="71">
        <v>45543.0</v>
      </c>
      <c r="D29" s="75" t="s">
        <v>1631</v>
      </c>
      <c r="E29" s="75" t="s">
        <v>1634</v>
      </c>
      <c r="F29" s="75" t="s">
        <v>1635</v>
      </c>
      <c r="G29" s="75" t="s">
        <v>1621</v>
      </c>
      <c r="H29" s="76" t="s">
        <v>1604</v>
      </c>
      <c r="I29" s="76"/>
      <c r="J29" s="74"/>
    </row>
    <row r="30" hidden="1">
      <c r="A30" s="74"/>
      <c r="B30" s="71">
        <v>45544.0</v>
      </c>
      <c r="D30" s="75" t="s">
        <v>1636</v>
      </c>
      <c r="E30" s="75" t="s">
        <v>1637</v>
      </c>
      <c r="F30" s="75" t="s">
        <v>1638</v>
      </c>
      <c r="G30" s="75" t="s">
        <v>1621</v>
      </c>
      <c r="H30" s="76" t="s">
        <v>1639</v>
      </c>
      <c r="I30" s="76"/>
      <c r="J30" s="74"/>
    </row>
    <row r="31" hidden="1">
      <c r="A31" s="74"/>
      <c r="B31" s="71">
        <v>45545.0</v>
      </c>
      <c r="D31" s="75" t="s">
        <v>1640</v>
      </c>
      <c r="E31" s="75" t="s">
        <v>1641</v>
      </c>
      <c r="F31" s="75" t="s">
        <v>1642</v>
      </c>
      <c r="G31" s="75" t="s">
        <v>1643</v>
      </c>
      <c r="H31" s="76" t="s">
        <v>1644</v>
      </c>
      <c r="I31" s="76"/>
      <c r="J31" s="74"/>
    </row>
    <row r="32" hidden="1">
      <c r="A32" s="74"/>
      <c r="B32" s="71">
        <v>45546.0</v>
      </c>
      <c r="D32" s="75" t="s">
        <v>422</v>
      </c>
      <c r="E32" s="75" t="s">
        <v>1645</v>
      </c>
      <c r="F32" s="75" t="s">
        <v>1593</v>
      </c>
      <c r="G32" s="75" t="s">
        <v>1643</v>
      </c>
      <c r="H32" s="76" t="s">
        <v>1646</v>
      </c>
      <c r="I32" s="76"/>
      <c r="J32" s="74"/>
    </row>
    <row r="33" hidden="1">
      <c r="A33" s="74"/>
      <c r="B33" s="71">
        <v>45547.0</v>
      </c>
      <c r="D33" s="75" t="s">
        <v>157</v>
      </c>
      <c r="E33" s="75" t="s">
        <v>1647</v>
      </c>
      <c r="F33" s="75" t="s">
        <v>1648</v>
      </c>
      <c r="G33" s="75" t="s">
        <v>1643</v>
      </c>
      <c r="H33" s="76" t="s">
        <v>1572</v>
      </c>
      <c r="I33" s="76"/>
      <c r="J33" s="74"/>
    </row>
    <row r="34" hidden="1">
      <c r="A34" s="74"/>
      <c r="B34" s="71">
        <v>45548.0</v>
      </c>
      <c r="D34" s="75" t="s">
        <v>157</v>
      </c>
      <c r="E34" s="75" t="s">
        <v>1649</v>
      </c>
      <c r="F34" s="75" t="s">
        <v>1602</v>
      </c>
      <c r="G34" s="75" t="s">
        <v>1643</v>
      </c>
      <c r="H34" s="76" t="s">
        <v>1575</v>
      </c>
      <c r="I34" s="76"/>
      <c r="J34" s="74"/>
    </row>
    <row r="35" hidden="1">
      <c r="A35" s="74"/>
      <c r="B35" s="71">
        <v>45549.0</v>
      </c>
      <c r="D35" s="75" t="s">
        <v>157</v>
      </c>
      <c r="E35" s="75" t="s">
        <v>174</v>
      </c>
      <c r="F35" s="75" t="s">
        <v>1587</v>
      </c>
      <c r="G35" s="75" t="s">
        <v>1643</v>
      </c>
      <c r="H35" s="76" t="s">
        <v>1644</v>
      </c>
      <c r="I35" s="76"/>
      <c r="J35" s="74"/>
    </row>
    <row r="36" hidden="1">
      <c r="A36" s="74"/>
      <c r="B36" s="71">
        <v>45550.0</v>
      </c>
      <c r="D36" s="75" t="s">
        <v>1650</v>
      </c>
      <c r="E36" s="75" t="s">
        <v>408</v>
      </c>
      <c r="F36" s="75" t="s">
        <v>1651</v>
      </c>
      <c r="G36" s="75" t="s">
        <v>1643</v>
      </c>
      <c r="H36" s="76" t="s">
        <v>1622</v>
      </c>
      <c r="I36" s="76"/>
      <c r="J36" s="74"/>
    </row>
    <row r="37" hidden="1">
      <c r="A37" s="74"/>
      <c r="B37" s="71">
        <v>45551.0</v>
      </c>
      <c r="D37" s="75" t="s">
        <v>1652</v>
      </c>
      <c r="E37" s="75" t="s">
        <v>408</v>
      </c>
      <c r="F37" s="75" t="s">
        <v>1653</v>
      </c>
      <c r="G37" s="75" t="s">
        <v>1643</v>
      </c>
      <c r="H37" s="76" t="s">
        <v>1577</v>
      </c>
      <c r="I37" s="76"/>
      <c r="J37" s="74"/>
    </row>
    <row r="38" hidden="1">
      <c r="A38" s="74"/>
      <c r="B38" s="71">
        <v>45552.0</v>
      </c>
      <c r="D38" s="75" t="s">
        <v>1654</v>
      </c>
      <c r="E38" s="75" t="s">
        <v>408</v>
      </c>
      <c r="F38" s="75" t="s">
        <v>408</v>
      </c>
      <c r="G38" s="75" t="s">
        <v>1655</v>
      </c>
      <c r="H38" s="76" t="s">
        <v>1585</v>
      </c>
      <c r="I38" s="76"/>
      <c r="J38" s="74"/>
    </row>
    <row r="39" hidden="1">
      <c r="A39" s="74"/>
      <c r="B39" s="71">
        <v>45553.0</v>
      </c>
      <c r="D39" s="75" t="s">
        <v>187</v>
      </c>
      <c r="E39" s="75" t="s">
        <v>408</v>
      </c>
      <c r="F39" s="75" t="s">
        <v>408</v>
      </c>
      <c r="G39" s="75" t="s">
        <v>1656</v>
      </c>
      <c r="H39" s="76" t="s">
        <v>1657</v>
      </c>
      <c r="I39" s="76"/>
      <c r="J39" s="74"/>
    </row>
    <row r="40" hidden="1">
      <c r="A40" s="74"/>
      <c r="B40" s="71">
        <v>45554.0</v>
      </c>
      <c r="D40" s="75" t="s">
        <v>1658</v>
      </c>
      <c r="E40" s="75" t="s">
        <v>408</v>
      </c>
      <c r="F40" s="75" t="s">
        <v>1659</v>
      </c>
      <c r="G40" s="75" t="s">
        <v>1656</v>
      </c>
      <c r="H40" s="76" t="s">
        <v>1592</v>
      </c>
      <c r="I40" s="76"/>
      <c r="J40" s="74"/>
    </row>
    <row r="41" hidden="1">
      <c r="A41" s="74"/>
      <c r="B41" s="71">
        <v>45555.0</v>
      </c>
      <c r="D41" s="75" t="s">
        <v>1660</v>
      </c>
      <c r="E41" s="75" t="s">
        <v>408</v>
      </c>
      <c r="F41" s="75" t="s">
        <v>1661</v>
      </c>
      <c r="G41" s="75" t="s">
        <v>1662</v>
      </c>
      <c r="H41" s="76" t="s">
        <v>1600</v>
      </c>
      <c r="I41" s="76"/>
      <c r="J41" s="74"/>
    </row>
    <row r="42" hidden="1">
      <c r="A42" s="74"/>
      <c r="B42" s="71">
        <v>45556.0</v>
      </c>
      <c r="D42" s="75" t="s">
        <v>1658</v>
      </c>
      <c r="E42" s="75" t="s">
        <v>408</v>
      </c>
      <c r="F42" s="75" t="s">
        <v>1663</v>
      </c>
      <c r="G42" s="75" t="s">
        <v>1662</v>
      </c>
      <c r="H42" s="76" t="s">
        <v>1629</v>
      </c>
      <c r="I42" s="76"/>
      <c r="J42" s="74"/>
    </row>
    <row r="43" hidden="1">
      <c r="A43" s="74"/>
      <c r="B43" s="71">
        <v>45557.0</v>
      </c>
      <c r="D43" s="75" t="s">
        <v>1664</v>
      </c>
      <c r="E43" s="75" t="s">
        <v>408</v>
      </c>
      <c r="F43" s="75" t="s">
        <v>1665</v>
      </c>
      <c r="G43" s="75" t="s">
        <v>1662</v>
      </c>
      <c r="H43" s="76" t="s">
        <v>1646</v>
      </c>
      <c r="I43" s="76"/>
      <c r="J43" s="74"/>
    </row>
    <row r="44" hidden="1">
      <c r="A44" s="74"/>
      <c r="B44" s="71">
        <v>45558.0</v>
      </c>
      <c r="D44" s="75" t="s">
        <v>1666</v>
      </c>
      <c r="E44" s="75" t="s">
        <v>408</v>
      </c>
      <c r="F44" s="75" t="s">
        <v>1658</v>
      </c>
      <c r="G44" s="75" t="s">
        <v>1656</v>
      </c>
      <c r="H44" s="76" t="s">
        <v>1633</v>
      </c>
      <c r="I44" s="76"/>
      <c r="J44" s="74"/>
    </row>
    <row r="45" hidden="1">
      <c r="A45" s="74"/>
      <c r="B45" s="71">
        <v>45559.0</v>
      </c>
      <c r="D45" s="75" t="s">
        <v>1667</v>
      </c>
      <c r="E45" s="75" t="s">
        <v>408</v>
      </c>
      <c r="F45" s="75" t="s">
        <v>1668</v>
      </c>
      <c r="G45" s="75" t="s">
        <v>1669</v>
      </c>
      <c r="H45" s="76" t="s">
        <v>1612</v>
      </c>
      <c r="I45" s="76"/>
      <c r="J45" s="74"/>
    </row>
    <row r="46" hidden="1">
      <c r="A46" s="74"/>
      <c r="B46" s="71">
        <v>45560.0</v>
      </c>
      <c r="D46" s="75" t="s">
        <v>1670</v>
      </c>
      <c r="E46" s="75" t="s">
        <v>408</v>
      </c>
      <c r="F46" s="75" t="s">
        <v>1671</v>
      </c>
      <c r="G46" s="75" t="s">
        <v>1669</v>
      </c>
      <c r="H46" s="76" t="s">
        <v>1644</v>
      </c>
      <c r="I46" s="76"/>
      <c r="J46" s="74"/>
    </row>
    <row r="47" hidden="1">
      <c r="A47" s="74"/>
      <c r="B47" s="71">
        <v>45561.0</v>
      </c>
      <c r="D47" s="75" t="s">
        <v>157</v>
      </c>
      <c r="E47" s="75" t="s">
        <v>408</v>
      </c>
      <c r="F47" s="75" t="s">
        <v>211</v>
      </c>
      <c r="G47" s="75" t="s">
        <v>1669</v>
      </c>
      <c r="H47" s="76" t="s">
        <v>1622</v>
      </c>
      <c r="I47" s="76"/>
      <c r="J47" s="74"/>
    </row>
    <row r="48" hidden="1">
      <c r="A48" s="74"/>
      <c r="B48" s="71">
        <v>45562.0</v>
      </c>
      <c r="D48" s="75" t="s">
        <v>1672</v>
      </c>
      <c r="E48" s="75" t="s">
        <v>408</v>
      </c>
      <c r="F48" s="75" t="s">
        <v>1658</v>
      </c>
      <c r="G48" s="75" t="s">
        <v>1669</v>
      </c>
      <c r="H48" s="76" t="s">
        <v>1629</v>
      </c>
      <c r="I48" s="76"/>
      <c r="J48" s="74"/>
    </row>
    <row r="49" hidden="1">
      <c r="A49" s="74"/>
      <c r="B49" s="71">
        <v>45563.0</v>
      </c>
      <c r="D49" s="75" t="s">
        <v>1673</v>
      </c>
      <c r="E49" s="75" t="s">
        <v>408</v>
      </c>
      <c r="F49" s="75" t="s">
        <v>1674</v>
      </c>
      <c r="G49" s="75" t="s">
        <v>1669</v>
      </c>
      <c r="H49" s="76" t="s">
        <v>1572</v>
      </c>
      <c r="I49" s="76"/>
      <c r="J49" s="74"/>
    </row>
    <row r="50" hidden="1">
      <c r="A50" s="74"/>
      <c r="B50" s="71">
        <v>45564.0</v>
      </c>
      <c r="D50" s="75" t="s">
        <v>1675</v>
      </c>
      <c r="E50" s="75" t="s">
        <v>408</v>
      </c>
      <c r="F50" s="75" t="s">
        <v>1676</v>
      </c>
      <c r="G50" s="75" t="s">
        <v>1669</v>
      </c>
      <c r="H50" s="76" t="s">
        <v>1575</v>
      </c>
      <c r="I50" s="76"/>
      <c r="J50" s="74"/>
    </row>
    <row r="51" hidden="1">
      <c r="A51" s="74"/>
      <c r="B51" s="71">
        <v>45565.0</v>
      </c>
      <c r="D51" s="75" t="s">
        <v>646</v>
      </c>
      <c r="E51" s="75" t="s">
        <v>408</v>
      </c>
      <c r="F51" s="75" t="s">
        <v>1677</v>
      </c>
      <c r="G51" s="75" t="s">
        <v>1669</v>
      </c>
      <c r="H51" s="76" t="s">
        <v>1618</v>
      </c>
      <c r="I51" s="76"/>
      <c r="J51" s="74"/>
    </row>
    <row r="52" hidden="1">
      <c r="A52" s="74"/>
      <c r="B52" s="71">
        <v>45566.0</v>
      </c>
      <c r="D52" s="75" t="s">
        <v>1678</v>
      </c>
      <c r="E52" s="75" t="s">
        <v>408</v>
      </c>
      <c r="F52" s="75" t="s">
        <v>1679</v>
      </c>
      <c r="G52" s="75" t="s">
        <v>1680</v>
      </c>
      <c r="H52" s="75" t="s">
        <v>1646</v>
      </c>
      <c r="I52" s="75"/>
      <c r="J52" s="74"/>
    </row>
    <row r="53" hidden="1">
      <c r="A53" s="74"/>
      <c r="B53" s="71">
        <v>45567.0</v>
      </c>
      <c r="D53" s="75" t="s">
        <v>1435</v>
      </c>
      <c r="E53" s="75" t="s">
        <v>408</v>
      </c>
      <c r="F53" s="75" t="s">
        <v>1681</v>
      </c>
      <c r="G53" s="75" t="s">
        <v>1680</v>
      </c>
      <c r="H53" s="75" t="s">
        <v>1572</v>
      </c>
      <c r="I53" s="75"/>
      <c r="J53" s="74"/>
    </row>
    <row r="54" hidden="1">
      <c r="A54" s="74"/>
      <c r="B54" s="71">
        <v>45568.0</v>
      </c>
      <c r="D54" s="75" t="s">
        <v>1682</v>
      </c>
      <c r="E54" s="75" t="s">
        <v>408</v>
      </c>
      <c r="F54" s="75" t="s">
        <v>1683</v>
      </c>
      <c r="G54" s="75" t="s">
        <v>1680</v>
      </c>
      <c r="H54" s="75" t="s">
        <v>1600</v>
      </c>
      <c r="I54" s="75"/>
      <c r="J54" s="74"/>
    </row>
    <row r="55" hidden="1">
      <c r="A55" s="74"/>
      <c r="B55" s="71">
        <v>45569.0</v>
      </c>
      <c r="D55" s="75" t="s">
        <v>1684</v>
      </c>
      <c r="E55" s="75" t="s">
        <v>408</v>
      </c>
      <c r="F55" s="75" t="s">
        <v>1685</v>
      </c>
      <c r="G55" s="75" t="s">
        <v>1680</v>
      </c>
      <c r="H55" s="75" t="s">
        <v>1582</v>
      </c>
      <c r="I55" s="75"/>
      <c r="J55" s="74"/>
    </row>
    <row r="56" hidden="1">
      <c r="A56" s="74"/>
      <c r="B56" s="71">
        <v>45570.0</v>
      </c>
      <c r="D56" s="75" t="s">
        <v>238</v>
      </c>
      <c r="E56" s="75" t="s">
        <v>408</v>
      </c>
      <c r="F56" s="75" t="s">
        <v>1686</v>
      </c>
      <c r="G56" s="75" t="s">
        <v>1680</v>
      </c>
      <c r="H56" s="75" t="s">
        <v>1577</v>
      </c>
      <c r="I56" s="75"/>
      <c r="J56" s="74"/>
    </row>
    <row r="57" hidden="1">
      <c r="A57" s="74"/>
      <c r="B57" s="71">
        <v>45571.0</v>
      </c>
      <c r="D57" s="75" t="s">
        <v>408</v>
      </c>
      <c r="E57" s="75" t="s">
        <v>408</v>
      </c>
      <c r="F57" s="75" t="s">
        <v>244</v>
      </c>
      <c r="G57" s="75" t="s">
        <v>1680</v>
      </c>
      <c r="H57" s="75" t="s">
        <v>1585</v>
      </c>
      <c r="I57" s="75"/>
      <c r="J57" s="74"/>
    </row>
    <row r="58" hidden="1">
      <c r="A58" s="74"/>
      <c r="B58" s="71">
        <v>45572.0</v>
      </c>
      <c r="D58" s="75" t="s">
        <v>408</v>
      </c>
      <c r="E58" s="75" t="s">
        <v>408</v>
      </c>
      <c r="F58" s="75" t="s">
        <v>1658</v>
      </c>
      <c r="G58" s="75" t="s">
        <v>1680</v>
      </c>
      <c r="H58" s="75" t="s">
        <v>1618</v>
      </c>
      <c r="I58" s="75"/>
      <c r="J58" s="74"/>
    </row>
    <row r="59" hidden="1">
      <c r="A59" s="74"/>
      <c r="B59" s="71">
        <v>45573.0</v>
      </c>
      <c r="D59" s="75" t="s">
        <v>408</v>
      </c>
      <c r="E59" s="75" t="s">
        <v>408</v>
      </c>
      <c r="F59" s="75" t="s">
        <v>408</v>
      </c>
      <c r="G59" s="75" t="s">
        <v>1594</v>
      </c>
      <c r="H59" s="75" t="s">
        <v>1577</v>
      </c>
      <c r="I59" s="75"/>
      <c r="J59" s="74"/>
    </row>
    <row r="60" hidden="1">
      <c r="A60" s="74"/>
      <c r="B60" s="71">
        <v>45574.0</v>
      </c>
      <c r="D60" s="75" t="s">
        <v>408</v>
      </c>
      <c r="E60" s="75" t="s">
        <v>408</v>
      </c>
      <c r="F60" s="75" t="s">
        <v>408</v>
      </c>
      <c r="G60" s="75" t="s">
        <v>1594</v>
      </c>
      <c r="H60" s="75" t="s">
        <v>1585</v>
      </c>
      <c r="I60" s="75"/>
      <c r="J60" s="74"/>
    </row>
    <row r="61" hidden="1">
      <c r="A61" s="74"/>
      <c r="B61" s="71">
        <v>45575.0</v>
      </c>
      <c r="D61" s="75" t="s">
        <v>408</v>
      </c>
      <c r="E61" s="75" t="s">
        <v>408</v>
      </c>
      <c r="F61" s="75" t="s">
        <v>408</v>
      </c>
      <c r="G61" s="75" t="s">
        <v>1594</v>
      </c>
      <c r="H61" s="76" t="s">
        <v>1575</v>
      </c>
      <c r="I61" s="76"/>
      <c r="J61" s="74"/>
    </row>
    <row r="62" hidden="1">
      <c r="A62" s="74"/>
      <c r="B62" s="71">
        <v>45576.0</v>
      </c>
      <c r="D62" s="75" t="s">
        <v>408</v>
      </c>
      <c r="E62" s="75" t="s">
        <v>408</v>
      </c>
      <c r="F62" s="75" t="s">
        <v>408</v>
      </c>
      <c r="G62" s="75" t="s">
        <v>1662</v>
      </c>
      <c r="H62" s="75" t="s">
        <v>1618</v>
      </c>
      <c r="I62" s="75"/>
      <c r="J62" s="74"/>
    </row>
    <row r="63" hidden="1">
      <c r="A63" s="74"/>
      <c r="B63" s="71">
        <v>45577.0</v>
      </c>
      <c r="D63" s="75" t="s">
        <v>408</v>
      </c>
      <c r="E63" s="75" t="s">
        <v>408</v>
      </c>
      <c r="F63" s="75" t="s">
        <v>408</v>
      </c>
      <c r="G63" s="75" t="s">
        <v>1662</v>
      </c>
      <c r="H63" s="75" t="s">
        <v>1582</v>
      </c>
      <c r="I63" s="75"/>
      <c r="J63" s="74"/>
    </row>
    <row r="64" hidden="1">
      <c r="A64" s="74"/>
      <c r="B64" s="71">
        <v>45578.0</v>
      </c>
      <c r="D64" s="75" t="s">
        <v>408</v>
      </c>
      <c r="E64" s="75" t="s">
        <v>408</v>
      </c>
      <c r="F64" s="75" t="s">
        <v>408</v>
      </c>
      <c r="G64" s="75" t="s">
        <v>1662</v>
      </c>
      <c r="H64" s="75" t="s">
        <v>1592</v>
      </c>
      <c r="I64" s="75"/>
      <c r="J64" s="74"/>
    </row>
    <row r="65" hidden="1">
      <c r="A65" s="74"/>
      <c r="B65" s="71">
        <v>45579.0</v>
      </c>
      <c r="D65" s="75" t="s">
        <v>408</v>
      </c>
      <c r="E65" s="75" t="s">
        <v>408</v>
      </c>
      <c r="F65" s="75" t="s">
        <v>408</v>
      </c>
      <c r="G65" s="75" t="s">
        <v>1662</v>
      </c>
      <c r="H65" s="75" t="s">
        <v>1633</v>
      </c>
      <c r="I65" s="75"/>
      <c r="J65" s="74"/>
    </row>
    <row r="66" hidden="1">
      <c r="A66" s="74"/>
      <c r="B66" s="71">
        <v>45580.0</v>
      </c>
      <c r="D66" s="75" t="s">
        <v>408</v>
      </c>
      <c r="E66" s="75" t="s">
        <v>408</v>
      </c>
      <c r="F66" s="75" t="s">
        <v>408</v>
      </c>
      <c r="G66" s="75" t="s">
        <v>1687</v>
      </c>
      <c r="H66" s="75" t="s">
        <v>1622</v>
      </c>
      <c r="I66" s="75"/>
      <c r="J66" s="74"/>
    </row>
    <row r="67" hidden="1">
      <c r="A67" s="74"/>
      <c r="B67" s="71">
        <v>45581.0</v>
      </c>
      <c r="D67" s="75" t="s">
        <v>408</v>
      </c>
      <c r="E67" s="75" t="s">
        <v>408</v>
      </c>
      <c r="F67" s="75" t="s">
        <v>408</v>
      </c>
      <c r="G67" s="75" t="s">
        <v>1687</v>
      </c>
      <c r="H67" s="75" t="s">
        <v>1629</v>
      </c>
      <c r="I67" s="75"/>
      <c r="J67" s="74"/>
    </row>
    <row r="68" hidden="1">
      <c r="A68" s="74"/>
      <c r="B68" s="71">
        <v>45582.0</v>
      </c>
      <c r="D68" s="75" t="s">
        <v>408</v>
      </c>
      <c r="E68" s="75" t="s">
        <v>408</v>
      </c>
      <c r="F68" s="75" t="s">
        <v>408</v>
      </c>
      <c r="G68" s="75" t="s">
        <v>1687</v>
      </c>
      <c r="H68" s="75" t="s">
        <v>1572</v>
      </c>
      <c r="I68" s="75"/>
      <c r="J68" s="74"/>
    </row>
    <row r="69" hidden="1">
      <c r="A69" s="74"/>
      <c r="B69" s="71">
        <v>45583.0</v>
      </c>
      <c r="D69" s="75" t="s">
        <v>408</v>
      </c>
      <c r="E69" s="75" t="s">
        <v>408</v>
      </c>
      <c r="F69" s="75" t="s">
        <v>408</v>
      </c>
      <c r="G69" s="75" t="s">
        <v>1687</v>
      </c>
      <c r="H69" s="75" t="s">
        <v>1622</v>
      </c>
      <c r="I69" s="75"/>
      <c r="J69" s="74"/>
    </row>
    <row r="70" hidden="1">
      <c r="A70" s="74"/>
      <c r="B70" s="71">
        <v>45584.0</v>
      </c>
      <c r="D70" s="75" t="s">
        <v>408</v>
      </c>
      <c r="E70" s="75" t="s">
        <v>408</v>
      </c>
      <c r="F70" s="75" t="s">
        <v>408</v>
      </c>
      <c r="G70" s="75" t="s">
        <v>1687</v>
      </c>
      <c r="H70" s="75" t="s">
        <v>1590</v>
      </c>
      <c r="I70" s="75"/>
      <c r="J70" s="74"/>
    </row>
    <row r="71" hidden="1">
      <c r="A71" s="74"/>
      <c r="B71" s="71">
        <v>45585.0</v>
      </c>
      <c r="D71" s="75" t="s">
        <v>408</v>
      </c>
      <c r="E71" s="75" t="s">
        <v>408</v>
      </c>
      <c r="F71" s="75" t="s">
        <v>408</v>
      </c>
      <c r="G71" s="75" t="s">
        <v>1687</v>
      </c>
      <c r="H71" s="75" t="s">
        <v>1600</v>
      </c>
      <c r="I71" s="75"/>
      <c r="J71" s="74"/>
    </row>
    <row r="72" hidden="1">
      <c r="A72" s="74"/>
      <c r="B72" s="71">
        <v>45586.0</v>
      </c>
      <c r="D72" s="75" t="s">
        <v>408</v>
      </c>
      <c r="E72" s="75" t="s">
        <v>408</v>
      </c>
      <c r="F72" s="75" t="s">
        <v>408</v>
      </c>
      <c r="G72" s="75" t="s">
        <v>1687</v>
      </c>
      <c r="H72" s="75" t="s">
        <v>1646</v>
      </c>
      <c r="I72" s="75"/>
      <c r="J72" s="74"/>
    </row>
    <row r="73" hidden="1">
      <c r="A73" s="74"/>
      <c r="B73" s="71">
        <v>45587.0</v>
      </c>
      <c r="D73" s="75" t="s">
        <v>1675</v>
      </c>
      <c r="E73" s="75" t="s">
        <v>408</v>
      </c>
      <c r="F73" s="75" t="s">
        <v>1688</v>
      </c>
      <c r="G73" s="75" t="s">
        <v>1689</v>
      </c>
      <c r="H73" s="75" t="s">
        <v>1585</v>
      </c>
      <c r="I73" s="75"/>
      <c r="J73" s="74"/>
    </row>
    <row r="74" hidden="1">
      <c r="A74" s="74"/>
      <c r="B74" s="71">
        <v>45588.0</v>
      </c>
      <c r="D74" s="75" t="s">
        <v>1690</v>
      </c>
      <c r="E74" s="75" t="s">
        <v>408</v>
      </c>
      <c r="F74" s="75" t="s">
        <v>1691</v>
      </c>
      <c r="G74" s="75" t="s">
        <v>1689</v>
      </c>
      <c r="H74" s="75" t="s">
        <v>1582</v>
      </c>
      <c r="I74" s="75"/>
      <c r="J74" s="74"/>
    </row>
    <row r="75" hidden="1">
      <c r="A75" s="74"/>
      <c r="B75" s="71">
        <v>45589.0</v>
      </c>
      <c r="D75" s="75" t="s">
        <v>273</v>
      </c>
      <c r="E75" s="75" t="s">
        <v>408</v>
      </c>
      <c r="F75" s="75" t="s">
        <v>1692</v>
      </c>
      <c r="G75" s="75" t="s">
        <v>1689</v>
      </c>
      <c r="H75" s="75" t="s">
        <v>1592</v>
      </c>
      <c r="I75" s="75"/>
      <c r="J75" s="74"/>
    </row>
    <row r="76" hidden="1">
      <c r="A76" s="74"/>
      <c r="B76" s="71">
        <v>45590.0</v>
      </c>
      <c r="D76" s="75" t="s">
        <v>273</v>
      </c>
      <c r="E76" s="75" t="s">
        <v>408</v>
      </c>
      <c r="F76" s="75" t="s">
        <v>1693</v>
      </c>
      <c r="G76" s="75" t="s">
        <v>1689</v>
      </c>
      <c r="H76" s="75" t="s">
        <v>1604</v>
      </c>
      <c r="I76" s="75"/>
      <c r="J76" s="74"/>
    </row>
    <row r="77" hidden="1">
      <c r="A77" s="74"/>
      <c r="B77" s="71">
        <v>45591.0</v>
      </c>
      <c r="D77" s="75" t="s">
        <v>1694</v>
      </c>
      <c r="E77" s="75" t="s">
        <v>408</v>
      </c>
      <c r="F77" s="75" t="s">
        <v>1695</v>
      </c>
      <c r="G77" s="75" t="s">
        <v>1689</v>
      </c>
      <c r="H77" s="75" t="s">
        <v>1618</v>
      </c>
      <c r="I77" s="75"/>
      <c r="J77" s="74"/>
    </row>
    <row r="78" hidden="1">
      <c r="A78" s="74"/>
      <c r="B78" s="71">
        <v>45592.0</v>
      </c>
      <c r="D78" s="75" t="s">
        <v>1696</v>
      </c>
      <c r="E78" s="75" t="s">
        <v>408</v>
      </c>
      <c r="F78" s="75" t="s">
        <v>94</v>
      </c>
      <c r="G78" s="75" t="s">
        <v>1689</v>
      </c>
      <c r="H78" s="75" t="s">
        <v>1633</v>
      </c>
      <c r="I78" s="75"/>
      <c r="J78" s="74"/>
    </row>
    <row r="79" hidden="1">
      <c r="A79" s="74"/>
      <c r="B79" s="71">
        <v>45593.0</v>
      </c>
      <c r="D79" s="75" t="s">
        <v>289</v>
      </c>
      <c r="E79" s="75" t="s">
        <v>408</v>
      </c>
      <c r="F79" s="75" t="s">
        <v>1697</v>
      </c>
      <c r="G79" s="75" t="s">
        <v>1689</v>
      </c>
      <c r="H79" s="75" t="s">
        <v>1604</v>
      </c>
      <c r="I79" s="75"/>
      <c r="J79" s="74"/>
    </row>
    <row r="80" hidden="1">
      <c r="A80" s="74"/>
      <c r="B80" s="71">
        <v>45594.0</v>
      </c>
      <c r="D80" s="75" t="s">
        <v>1698</v>
      </c>
      <c r="E80" s="75" t="s">
        <v>408</v>
      </c>
      <c r="F80" s="75" t="s">
        <v>1699</v>
      </c>
      <c r="G80" s="75" t="s">
        <v>1700</v>
      </c>
      <c r="H80" s="75" t="s">
        <v>1592</v>
      </c>
      <c r="I80" s="75"/>
      <c r="J80" s="74"/>
    </row>
    <row r="81" hidden="1">
      <c r="A81" s="74"/>
      <c r="B81" s="71">
        <v>45595.0</v>
      </c>
      <c r="D81" s="75" t="s">
        <v>301</v>
      </c>
      <c r="E81" s="75" t="s">
        <v>293</v>
      </c>
      <c r="F81" s="75" t="s">
        <v>94</v>
      </c>
      <c r="G81" s="75" t="s">
        <v>1700</v>
      </c>
      <c r="H81" s="75" t="s">
        <v>1644</v>
      </c>
      <c r="I81" s="75"/>
      <c r="J81" s="74"/>
    </row>
    <row r="82" hidden="1">
      <c r="A82" s="74"/>
      <c r="B82" s="71">
        <v>45596.0</v>
      </c>
      <c r="D82" s="75" t="s">
        <v>301</v>
      </c>
      <c r="E82" s="75" t="s">
        <v>408</v>
      </c>
      <c r="F82" s="75" t="s">
        <v>1701</v>
      </c>
      <c r="G82" s="75" t="s">
        <v>1700</v>
      </c>
      <c r="H82" s="75" t="s">
        <v>1575</v>
      </c>
      <c r="I82" s="75"/>
      <c r="J82" s="74"/>
    </row>
    <row r="83" hidden="1">
      <c r="A83" s="74"/>
      <c r="B83" s="71">
        <v>45597.0</v>
      </c>
      <c r="D83" s="75" t="s">
        <v>301</v>
      </c>
      <c r="E83" s="75" t="s">
        <v>1702</v>
      </c>
      <c r="F83" s="75" t="s">
        <v>1703</v>
      </c>
      <c r="G83" s="75" t="s">
        <v>1700</v>
      </c>
      <c r="H83" s="75" t="s">
        <v>1644</v>
      </c>
      <c r="I83" s="75"/>
      <c r="J83" s="74"/>
    </row>
    <row r="84" hidden="1">
      <c r="A84" s="74"/>
      <c r="B84" s="71">
        <v>45598.0</v>
      </c>
      <c r="D84" s="75" t="s">
        <v>408</v>
      </c>
      <c r="E84" s="75" t="s">
        <v>1704</v>
      </c>
      <c r="F84" s="75" t="s">
        <v>1106</v>
      </c>
      <c r="G84" s="75" t="s">
        <v>1700</v>
      </c>
      <c r="H84" s="75" t="s">
        <v>1622</v>
      </c>
      <c r="I84" s="75"/>
      <c r="J84" s="74"/>
    </row>
    <row r="85" hidden="1">
      <c r="A85" s="74"/>
      <c r="B85" s="71">
        <v>45599.0</v>
      </c>
      <c r="D85" s="75" t="s">
        <v>408</v>
      </c>
      <c r="E85" s="75" t="s">
        <v>1702</v>
      </c>
      <c r="F85" s="75" t="s">
        <v>1705</v>
      </c>
      <c r="G85" s="75" t="s">
        <v>1700</v>
      </c>
      <c r="H85" s="75" t="s">
        <v>1604</v>
      </c>
      <c r="I85" s="75"/>
      <c r="J85" s="74"/>
    </row>
    <row r="86" hidden="1">
      <c r="A86" s="74"/>
      <c r="B86" s="71">
        <v>45600.0</v>
      </c>
      <c r="D86" s="75" t="s">
        <v>408</v>
      </c>
      <c r="E86" s="75" t="s">
        <v>1706</v>
      </c>
      <c r="F86" s="75" t="s">
        <v>1707</v>
      </c>
      <c r="G86" s="75" t="s">
        <v>1700</v>
      </c>
      <c r="H86" s="75" t="s">
        <v>1569</v>
      </c>
      <c r="I86" s="75"/>
      <c r="J86" s="74"/>
    </row>
    <row r="87" hidden="1">
      <c r="A87" s="74"/>
      <c r="B87" s="71">
        <v>45601.0</v>
      </c>
      <c r="D87" s="75" t="s">
        <v>408</v>
      </c>
      <c r="E87" s="75" t="s">
        <v>1708</v>
      </c>
      <c r="F87" s="75" t="s">
        <v>1709</v>
      </c>
      <c r="G87" s="75" t="s">
        <v>1710</v>
      </c>
      <c r="H87" s="75" t="s">
        <v>1596</v>
      </c>
      <c r="I87" s="75"/>
      <c r="J87" s="74"/>
    </row>
    <row r="88" hidden="1">
      <c r="A88" s="74"/>
      <c r="B88" s="71">
        <v>45602.0</v>
      </c>
      <c r="D88" s="75" t="s">
        <v>408</v>
      </c>
      <c r="E88" s="75" t="s">
        <v>325</v>
      </c>
      <c r="F88" s="75" t="s">
        <v>1711</v>
      </c>
      <c r="G88" s="75" t="s">
        <v>1710</v>
      </c>
      <c r="H88" s="75" t="s">
        <v>1615</v>
      </c>
      <c r="I88" s="75"/>
      <c r="J88" s="74"/>
    </row>
    <row r="89" hidden="1">
      <c r="A89" s="74"/>
      <c r="B89" s="71">
        <v>45603.0</v>
      </c>
      <c r="D89" s="75" t="s">
        <v>408</v>
      </c>
      <c r="E89" s="75" t="s">
        <v>1712</v>
      </c>
      <c r="F89" s="75" t="s">
        <v>329</v>
      </c>
      <c r="G89" s="75" t="s">
        <v>1710</v>
      </c>
      <c r="H89" s="75" t="s">
        <v>1572</v>
      </c>
      <c r="I89" s="75"/>
      <c r="J89" s="74"/>
    </row>
    <row r="90" hidden="1">
      <c r="A90" s="74"/>
      <c r="B90" s="71">
        <v>45604.0</v>
      </c>
      <c r="D90" s="75" t="s">
        <v>408</v>
      </c>
      <c r="E90" s="75" t="s">
        <v>1713</v>
      </c>
      <c r="F90" s="75" t="s">
        <v>329</v>
      </c>
      <c r="G90" s="75" t="s">
        <v>1710</v>
      </c>
      <c r="H90" s="75" t="s">
        <v>1615</v>
      </c>
      <c r="I90" s="75"/>
      <c r="J90" s="74"/>
    </row>
    <row r="91" hidden="1">
      <c r="A91" s="74"/>
      <c r="B91" s="71">
        <v>45605.0</v>
      </c>
      <c r="D91" s="75" t="s">
        <v>1714</v>
      </c>
      <c r="E91" s="75" t="s">
        <v>1715</v>
      </c>
      <c r="F91" s="75" t="s">
        <v>329</v>
      </c>
      <c r="G91" s="75" t="s">
        <v>1710</v>
      </c>
      <c r="H91" s="75" t="s">
        <v>1595</v>
      </c>
      <c r="I91" s="75"/>
      <c r="J91" s="74"/>
    </row>
    <row r="92" hidden="1">
      <c r="A92" s="74"/>
      <c r="B92" s="71">
        <v>45606.0</v>
      </c>
      <c r="D92" s="75" t="s">
        <v>1716</v>
      </c>
      <c r="E92" s="75" t="s">
        <v>344</v>
      </c>
      <c r="F92" s="75" t="s">
        <v>329</v>
      </c>
      <c r="G92" s="75" t="s">
        <v>1710</v>
      </c>
      <c r="H92" s="75" t="s">
        <v>1618</v>
      </c>
      <c r="I92" s="75"/>
      <c r="J92" s="74"/>
    </row>
    <row r="93" hidden="1">
      <c r="A93" s="74"/>
      <c r="B93" s="71">
        <v>45607.0</v>
      </c>
      <c r="D93" s="75" t="s">
        <v>348</v>
      </c>
      <c r="E93" s="75" t="s">
        <v>1717</v>
      </c>
      <c r="F93" s="75" t="s">
        <v>1695</v>
      </c>
      <c r="G93" s="75" t="s">
        <v>1710</v>
      </c>
      <c r="H93" s="75" t="s">
        <v>1596</v>
      </c>
      <c r="I93" s="75"/>
      <c r="J93" s="74"/>
    </row>
    <row r="94" hidden="1">
      <c r="A94" s="74"/>
      <c r="B94" s="71">
        <v>45608.0</v>
      </c>
      <c r="D94" s="75" t="s">
        <v>1670</v>
      </c>
      <c r="E94" s="75" t="s">
        <v>352</v>
      </c>
      <c r="F94" s="75" t="s">
        <v>356</v>
      </c>
      <c r="G94" s="75" t="s">
        <v>1718</v>
      </c>
      <c r="H94" s="75" t="s">
        <v>1646</v>
      </c>
      <c r="I94" s="75"/>
      <c r="J94" s="74"/>
    </row>
    <row r="95" hidden="1">
      <c r="A95" s="74"/>
      <c r="B95" s="71">
        <v>45609.0</v>
      </c>
      <c r="D95" s="75" t="s">
        <v>1719</v>
      </c>
      <c r="E95" s="75" t="s">
        <v>352</v>
      </c>
      <c r="F95" s="75" t="s">
        <v>1720</v>
      </c>
      <c r="G95" s="75" t="s">
        <v>1718</v>
      </c>
      <c r="H95" s="75" t="s">
        <v>1639</v>
      </c>
      <c r="I95" s="75"/>
      <c r="J95" s="74"/>
    </row>
    <row r="96" hidden="1">
      <c r="A96" s="74"/>
      <c r="B96" s="71">
        <v>45610.0</v>
      </c>
      <c r="D96" s="75" t="s">
        <v>1721</v>
      </c>
      <c r="E96" s="75" t="s">
        <v>352</v>
      </c>
      <c r="F96" s="75" t="s">
        <v>1722</v>
      </c>
      <c r="G96" s="75" t="s">
        <v>1718</v>
      </c>
      <c r="H96" s="75" t="s">
        <v>1615</v>
      </c>
      <c r="I96" s="75"/>
      <c r="J96" s="74"/>
    </row>
    <row r="97" hidden="1">
      <c r="A97" s="74"/>
      <c r="B97" s="71">
        <v>45611.0</v>
      </c>
      <c r="D97" s="75" t="s">
        <v>1723</v>
      </c>
      <c r="E97" s="75" t="s">
        <v>352</v>
      </c>
      <c r="F97" s="75" t="s">
        <v>376</v>
      </c>
      <c r="G97" s="75" t="s">
        <v>1724</v>
      </c>
      <c r="H97" s="75" t="s">
        <v>1595</v>
      </c>
      <c r="I97" s="75"/>
      <c r="J97" s="74"/>
    </row>
    <row r="98" hidden="1">
      <c r="A98" s="74"/>
      <c r="B98" s="71">
        <v>45612.0</v>
      </c>
      <c r="D98" s="75" t="s">
        <v>1725</v>
      </c>
      <c r="E98" s="75" t="s">
        <v>352</v>
      </c>
      <c r="F98" s="75" t="s">
        <v>408</v>
      </c>
      <c r="G98" s="75" t="s">
        <v>1724</v>
      </c>
      <c r="H98" s="75" t="s">
        <v>1596</v>
      </c>
      <c r="I98" s="75"/>
      <c r="J98" s="74"/>
    </row>
    <row r="99" hidden="1">
      <c r="A99" s="74"/>
      <c r="B99" s="71">
        <v>45613.0</v>
      </c>
      <c r="D99" s="75" t="s">
        <v>389</v>
      </c>
      <c r="E99" s="75" t="s">
        <v>352</v>
      </c>
      <c r="F99" s="75" t="s">
        <v>408</v>
      </c>
      <c r="G99" s="75" t="s">
        <v>1724</v>
      </c>
      <c r="H99" s="75" t="s">
        <v>1657</v>
      </c>
      <c r="I99" s="75"/>
      <c r="J99" s="74"/>
    </row>
    <row r="100" hidden="1">
      <c r="A100" s="74"/>
      <c r="B100" s="71">
        <v>45614.0</v>
      </c>
      <c r="D100" s="75" t="s">
        <v>1725</v>
      </c>
      <c r="E100" s="75" t="s">
        <v>352</v>
      </c>
      <c r="F100" s="75" t="s">
        <v>408</v>
      </c>
      <c r="G100" s="75" t="s">
        <v>1724</v>
      </c>
      <c r="H100" s="75" t="s">
        <v>1595</v>
      </c>
      <c r="I100" s="75"/>
      <c r="J100" s="74"/>
    </row>
    <row r="101" hidden="1">
      <c r="A101" s="74"/>
      <c r="B101" s="71">
        <v>45615.0</v>
      </c>
      <c r="D101" s="75" t="s">
        <v>389</v>
      </c>
      <c r="E101" s="75" t="s">
        <v>400</v>
      </c>
      <c r="F101" s="75" t="s">
        <v>408</v>
      </c>
      <c r="G101" s="75" t="s">
        <v>1655</v>
      </c>
      <c r="H101" s="75" t="s">
        <v>1585</v>
      </c>
      <c r="I101" s="75"/>
      <c r="J101" s="74"/>
    </row>
    <row r="102" hidden="1">
      <c r="A102" s="74"/>
      <c r="B102" s="71">
        <v>45616.0</v>
      </c>
      <c r="D102" s="75" t="s">
        <v>402</v>
      </c>
      <c r="E102" s="75" t="s">
        <v>400</v>
      </c>
      <c r="F102" s="75" t="s">
        <v>408</v>
      </c>
      <c r="G102" s="75" t="s">
        <v>1655</v>
      </c>
      <c r="H102" s="75" t="s">
        <v>1618</v>
      </c>
      <c r="I102" s="75"/>
      <c r="J102" s="74"/>
    </row>
    <row r="103" hidden="1">
      <c r="A103" s="74"/>
      <c r="B103" s="71">
        <v>45617.0</v>
      </c>
      <c r="D103" s="75" t="s">
        <v>408</v>
      </c>
      <c r="E103" s="75" t="s">
        <v>400</v>
      </c>
      <c r="F103" s="75" t="s">
        <v>408</v>
      </c>
      <c r="G103" s="75" t="s">
        <v>1655</v>
      </c>
      <c r="H103" s="75" t="s">
        <v>1633</v>
      </c>
      <c r="I103" s="75"/>
      <c r="J103" s="74"/>
    </row>
    <row r="104" hidden="1">
      <c r="A104" s="74"/>
      <c r="B104" s="71">
        <v>45618.0</v>
      </c>
      <c r="D104" s="75" t="s">
        <v>408</v>
      </c>
      <c r="E104" s="75" t="s">
        <v>408</v>
      </c>
      <c r="F104" s="75" t="s">
        <v>408</v>
      </c>
      <c r="G104" s="75" t="s">
        <v>1655</v>
      </c>
      <c r="H104" s="75" t="s">
        <v>1604</v>
      </c>
      <c r="I104" s="75"/>
      <c r="J104" s="74"/>
    </row>
    <row r="105" hidden="1">
      <c r="A105" s="74"/>
      <c r="B105" s="71">
        <v>45619.0</v>
      </c>
      <c r="D105" s="75" t="s">
        <v>408</v>
      </c>
      <c r="E105" s="75" t="s">
        <v>408</v>
      </c>
      <c r="F105" s="75" t="s">
        <v>408</v>
      </c>
      <c r="G105" s="75" t="s">
        <v>1655</v>
      </c>
      <c r="H105" s="75" t="s">
        <v>1600</v>
      </c>
      <c r="I105" s="75"/>
      <c r="J105" s="74"/>
    </row>
    <row r="106" hidden="1">
      <c r="A106" s="74"/>
      <c r="B106" s="71">
        <v>45620.0</v>
      </c>
      <c r="D106" s="75" t="s">
        <v>408</v>
      </c>
      <c r="E106" s="75" t="s">
        <v>408</v>
      </c>
      <c r="F106" s="75" t="s">
        <v>408</v>
      </c>
      <c r="G106" s="75" t="s">
        <v>1655</v>
      </c>
      <c r="H106" s="75" t="s">
        <v>1646</v>
      </c>
      <c r="I106" s="75"/>
      <c r="J106" s="74"/>
    </row>
    <row r="107" hidden="1">
      <c r="A107" s="74"/>
      <c r="B107" s="71">
        <v>45621.0</v>
      </c>
      <c r="D107" s="75" t="s">
        <v>408</v>
      </c>
      <c r="E107" s="75" t="s">
        <v>408</v>
      </c>
      <c r="F107" s="75" t="s">
        <v>408</v>
      </c>
      <c r="G107" s="75" t="s">
        <v>1655</v>
      </c>
      <c r="H107" s="75" t="s">
        <v>1595</v>
      </c>
      <c r="I107" s="75"/>
      <c r="J107" s="74"/>
    </row>
    <row r="108" hidden="1">
      <c r="A108" s="74"/>
      <c r="B108" s="71">
        <v>45622.0</v>
      </c>
      <c r="D108" s="75" t="s">
        <v>408</v>
      </c>
      <c r="E108" s="75" t="s">
        <v>408</v>
      </c>
      <c r="F108" s="75" t="s">
        <v>408</v>
      </c>
      <c r="G108" s="75" t="s">
        <v>1655</v>
      </c>
      <c r="H108" s="75" t="s">
        <v>1622</v>
      </c>
      <c r="I108" s="75"/>
      <c r="J108" s="74"/>
    </row>
    <row r="109" hidden="1">
      <c r="A109" s="74"/>
      <c r="B109" s="71">
        <v>45623.0</v>
      </c>
      <c r="D109" s="75" t="s">
        <v>408</v>
      </c>
      <c r="E109" s="75" t="s">
        <v>408</v>
      </c>
      <c r="F109" s="75" t="s">
        <v>408</v>
      </c>
      <c r="G109" s="75" t="s">
        <v>1655</v>
      </c>
      <c r="H109" s="75" t="s">
        <v>1646</v>
      </c>
      <c r="I109" s="75"/>
      <c r="J109" s="74"/>
    </row>
    <row r="110" hidden="1">
      <c r="A110" s="74"/>
      <c r="B110" s="71">
        <v>45624.0</v>
      </c>
      <c r="D110" s="75" t="s">
        <v>408</v>
      </c>
      <c r="E110" s="75" t="s">
        <v>408</v>
      </c>
      <c r="F110" s="75" t="s">
        <v>1726</v>
      </c>
      <c r="G110" s="75" t="s">
        <v>1727</v>
      </c>
      <c r="H110" s="75" t="s">
        <v>1633</v>
      </c>
      <c r="I110" s="75"/>
      <c r="J110" s="74"/>
    </row>
    <row r="111" hidden="1">
      <c r="A111" s="74"/>
      <c r="B111" s="71">
        <v>45625.0</v>
      </c>
      <c r="D111" s="75" t="s">
        <v>1728</v>
      </c>
      <c r="E111" s="75" t="s">
        <v>1645</v>
      </c>
      <c r="F111" s="75" t="s">
        <v>1729</v>
      </c>
      <c r="G111" s="75" t="s">
        <v>1727</v>
      </c>
      <c r="H111" s="75" t="s">
        <v>1596</v>
      </c>
      <c r="I111" s="75"/>
      <c r="J111" s="74"/>
    </row>
    <row r="112" hidden="1">
      <c r="A112" s="74"/>
      <c r="B112" s="71">
        <v>45626.0</v>
      </c>
      <c r="D112" s="75" t="s">
        <v>408</v>
      </c>
      <c r="E112" s="75" t="s">
        <v>408</v>
      </c>
      <c r="F112" s="75" t="s">
        <v>417</v>
      </c>
      <c r="G112" s="75" t="s">
        <v>1727</v>
      </c>
      <c r="H112" s="75" t="s">
        <v>1730</v>
      </c>
      <c r="I112" s="75"/>
      <c r="J112" s="74"/>
    </row>
    <row r="113" hidden="1">
      <c r="A113" s="74"/>
      <c r="B113" s="71">
        <v>45627.0</v>
      </c>
      <c r="D113" s="75" t="s">
        <v>408</v>
      </c>
      <c r="E113" s="75" t="s">
        <v>408</v>
      </c>
      <c r="F113" s="75" t="s">
        <v>1731</v>
      </c>
      <c r="G113" s="75" t="s">
        <v>1727</v>
      </c>
      <c r="H113" s="75" t="s">
        <v>1622</v>
      </c>
      <c r="I113" s="75"/>
      <c r="J113" s="74"/>
    </row>
    <row r="114" hidden="1">
      <c r="A114" s="74"/>
      <c r="B114" s="71">
        <v>45628.0</v>
      </c>
      <c r="D114" s="75" t="s">
        <v>408</v>
      </c>
      <c r="E114" s="75" t="s">
        <v>408</v>
      </c>
      <c r="F114" s="75" t="s">
        <v>1732</v>
      </c>
      <c r="G114" s="75" t="s">
        <v>1727</v>
      </c>
      <c r="H114" s="75" t="s">
        <v>1604</v>
      </c>
      <c r="I114" s="75"/>
      <c r="J114" s="74"/>
    </row>
    <row r="115" hidden="1">
      <c r="A115" s="74"/>
      <c r="B115" s="71">
        <v>45629.0</v>
      </c>
      <c r="D115" s="75" t="s">
        <v>591</v>
      </c>
      <c r="E115" s="75" t="s">
        <v>408</v>
      </c>
      <c r="F115" s="75" t="s">
        <v>1733</v>
      </c>
      <c r="G115" s="75" t="s">
        <v>1727</v>
      </c>
      <c r="H115" s="75" t="s">
        <v>1657</v>
      </c>
      <c r="I115" s="75"/>
      <c r="J115" s="74"/>
    </row>
    <row r="116" hidden="1">
      <c r="A116" s="74"/>
      <c r="B116" s="71">
        <v>45630.0</v>
      </c>
      <c r="D116" s="75" t="s">
        <v>1734</v>
      </c>
      <c r="E116" s="75" t="s">
        <v>1735</v>
      </c>
      <c r="F116" s="75" t="s">
        <v>427</v>
      </c>
      <c r="G116" s="75" t="s">
        <v>1727</v>
      </c>
      <c r="H116" s="75" t="s">
        <v>1595</v>
      </c>
      <c r="I116" s="75"/>
      <c r="J116" s="74"/>
    </row>
    <row r="117" hidden="1">
      <c r="A117" s="74"/>
      <c r="B117" s="71">
        <v>45631.0</v>
      </c>
      <c r="D117" s="75" t="s">
        <v>1736</v>
      </c>
      <c r="E117" s="75" t="s">
        <v>1737</v>
      </c>
      <c r="F117" s="75" t="s">
        <v>1738</v>
      </c>
      <c r="G117" s="75" t="s">
        <v>1718</v>
      </c>
      <c r="H117" s="75" t="s">
        <v>1600</v>
      </c>
      <c r="I117" s="75"/>
      <c r="J117" s="74"/>
    </row>
    <row r="118" hidden="1">
      <c r="A118" s="74"/>
      <c r="B118" s="71">
        <v>45632.0</v>
      </c>
      <c r="D118" s="75" t="s">
        <v>1739</v>
      </c>
      <c r="E118" s="75" t="s">
        <v>1740</v>
      </c>
      <c r="F118" s="75" t="s">
        <v>605</v>
      </c>
      <c r="G118" s="75" t="s">
        <v>1718</v>
      </c>
      <c r="H118" s="75" t="s">
        <v>1615</v>
      </c>
      <c r="I118" s="75"/>
      <c r="J118" s="74"/>
    </row>
    <row r="119" hidden="1">
      <c r="A119" s="74"/>
      <c r="B119" s="71">
        <v>45633.0</v>
      </c>
      <c r="D119" s="78" t="s">
        <v>373</v>
      </c>
      <c r="E119" s="75" t="s">
        <v>448</v>
      </c>
      <c r="F119" s="75" t="s">
        <v>1741</v>
      </c>
      <c r="G119" s="75" t="s">
        <v>1718</v>
      </c>
      <c r="H119" s="75" t="s">
        <v>1592</v>
      </c>
      <c r="I119" s="75"/>
      <c r="J119" s="74"/>
    </row>
    <row r="120" hidden="1">
      <c r="A120" s="74"/>
      <c r="B120" s="71">
        <v>45634.0</v>
      </c>
      <c r="D120" s="78" t="s">
        <v>373</v>
      </c>
      <c r="E120" s="75" t="s">
        <v>1742</v>
      </c>
      <c r="F120" s="75" t="s">
        <v>452</v>
      </c>
      <c r="G120" s="75" t="s">
        <v>1718</v>
      </c>
      <c r="H120" s="75" t="s">
        <v>1600</v>
      </c>
      <c r="I120" s="75"/>
      <c r="J120" s="74"/>
    </row>
    <row r="121" hidden="1">
      <c r="A121" s="74"/>
      <c r="B121" s="71">
        <v>45635.0</v>
      </c>
      <c r="D121" s="78" t="s">
        <v>373</v>
      </c>
      <c r="E121" s="75" t="s">
        <v>1743</v>
      </c>
      <c r="F121" s="75" t="s">
        <v>452</v>
      </c>
      <c r="G121" s="75" t="s">
        <v>1744</v>
      </c>
      <c r="H121" s="75" t="s">
        <v>1592</v>
      </c>
      <c r="I121" s="75"/>
      <c r="J121" s="74"/>
    </row>
    <row r="122" hidden="1">
      <c r="A122" s="74"/>
      <c r="B122" s="71">
        <v>45636.0</v>
      </c>
      <c r="D122" s="78" t="s">
        <v>373</v>
      </c>
      <c r="E122" s="75" t="s">
        <v>1745</v>
      </c>
      <c r="F122" s="75" t="s">
        <v>452</v>
      </c>
      <c r="G122" s="75" t="s">
        <v>1744</v>
      </c>
      <c r="H122" s="75" t="s">
        <v>1646</v>
      </c>
      <c r="I122" s="75"/>
      <c r="J122" s="74"/>
    </row>
    <row r="123" hidden="1">
      <c r="A123" s="74"/>
      <c r="B123" s="71">
        <v>45637.0</v>
      </c>
      <c r="D123" s="78" t="s">
        <v>373</v>
      </c>
      <c r="E123" s="75" t="s">
        <v>1745</v>
      </c>
      <c r="F123" s="75" t="s">
        <v>452</v>
      </c>
      <c r="G123" s="75" t="s">
        <v>1744</v>
      </c>
      <c r="H123" s="75" t="s">
        <v>1730</v>
      </c>
      <c r="I123" s="75"/>
      <c r="J123" s="74"/>
    </row>
    <row r="124" hidden="1">
      <c r="A124" s="74"/>
      <c r="B124" s="71">
        <v>45638.0</v>
      </c>
      <c r="D124" s="75" t="s">
        <v>1746</v>
      </c>
      <c r="E124" s="75" t="s">
        <v>1747</v>
      </c>
      <c r="F124" s="75" t="s">
        <v>452</v>
      </c>
      <c r="G124" s="75" t="s">
        <v>1744</v>
      </c>
      <c r="H124" s="75" t="s">
        <v>1572</v>
      </c>
      <c r="I124" s="75"/>
      <c r="J124" s="74"/>
    </row>
    <row r="125" hidden="1">
      <c r="A125" s="74"/>
      <c r="B125" s="71">
        <v>45639.0</v>
      </c>
      <c r="D125" s="75" t="s">
        <v>1748</v>
      </c>
      <c r="E125" s="75" t="s">
        <v>1749</v>
      </c>
      <c r="F125" s="75" t="s">
        <v>452</v>
      </c>
      <c r="G125" s="75" t="s">
        <v>1750</v>
      </c>
      <c r="H125" s="75" t="s">
        <v>1575</v>
      </c>
      <c r="I125" s="75"/>
      <c r="J125" s="74"/>
    </row>
    <row r="126" hidden="1">
      <c r="A126" s="74"/>
      <c r="B126" s="71">
        <v>45640.0</v>
      </c>
      <c r="D126" s="75" t="s">
        <v>1751</v>
      </c>
      <c r="E126" s="75" t="s">
        <v>467</v>
      </c>
      <c r="F126" s="75" t="s">
        <v>408</v>
      </c>
      <c r="G126" s="75" t="s">
        <v>1750</v>
      </c>
      <c r="H126" s="75" t="s">
        <v>1639</v>
      </c>
      <c r="I126" s="75"/>
      <c r="J126" s="74"/>
    </row>
    <row r="127" hidden="1">
      <c r="A127" s="74"/>
      <c r="B127" s="71">
        <v>45641.0</v>
      </c>
      <c r="D127" s="75" t="s">
        <v>1752</v>
      </c>
      <c r="E127" s="75" t="s">
        <v>467</v>
      </c>
      <c r="F127" s="75" t="s">
        <v>474</v>
      </c>
      <c r="G127" s="75" t="s">
        <v>1750</v>
      </c>
      <c r="H127" s="75" t="s">
        <v>1612</v>
      </c>
      <c r="I127" s="75"/>
      <c r="J127" s="74"/>
    </row>
    <row r="128" hidden="1">
      <c r="A128" s="74"/>
      <c r="B128" s="71">
        <v>45642.0</v>
      </c>
      <c r="D128" s="75" t="s">
        <v>478</v>
      </c>
      <c r="E128" s="75" t="s">
        <v>1753</v>
      </c>
      <c r="F128" s="75" t="s">
        <v>474</v>
      </c>
      <c r="G128" s="75" t="s">
        <v>1655</v>
      </c>
      <c r="H128" s="75" t="s">
        <v>1604</v>
      </c>
      <c r="I128" s="75"/>
      <c r="J128" s="74"/>
    </row>
    <row r="129" hidden="1">
      <c r="A129" s="74"/>
      <c r="B129" s="71">
        <v>45643.0</v>
      </c>
      <c r="D129" s="75" t="s">
        <v>478</v>
      </c>
      <c r="E129" s="75" t="s">
        <v>408</v>
      </c>
      <c r="F129" s="75" t="s">
        <v>1754</v>
      </c>
      <c r="G129" s="75" t="s">
        <v>1750</v>
      </c>
      <c r="H129" s="75" t="s">
        <v>1639</v>
      </c>
      <c r="I129" s="75"/>
      <c r="J129" s="74"/>
    </row>
    <row r="130" hidden="1">
      <c r="A130" s="74"/>
      <c r="B130" s="71">
        <v>45644.0</v>
      </c>
      <c r="D130" s="75" t="s">
        <v>1755</v>
      </c>
      <c r="E130" s="75" t="s">
        <v>408</v>
      </c>
      <c r="F130" s="75" t="s">
        <v>1658</v>
      </c>
      <c r="G130" s="75" t="s">
        <v>1750</v>
      </c>
      <c r="H130" s="75" t="s">
        <v>1612</v>
      </c>
      <c r="I130" s="75"/>
      <c r="J130" s="74"/>
    </row>
    <row r="131" hidden="1">
      <c r="A131" s="74"/>
      <c r="B131" s="71">
        <v>45645.0</v>
      </c>
      <c r="D131" s="75" t="s">
        <v>1756</v>
      </c>
      <c r="E131" s="75" t="s">
        <v>408</v>
      </c>
      <c r="F131" s="75" t="s">
        <v>1658</v>
      </c>
      <c r="G131" s="75" t="s">
        <v>1724</v>
      </c>
      <c r="H131" s="75" t="s">
        <v>1618</v>
      </c>
      <c r="I131" s="75"/>
      <c r="J131" s="74"/>
    </row>
    <row r="132" hidden="1">
      <c r="A132" s="74"/>
      <c r="B132" s="71">
        <v>45646.0</v>
      </c>
      <c r="D132" s="75" t="s">
        <v>1757</v>
      </c>
      <c r="E132" s="75" t="s">
        <v>408</v>
      </c>
      <c r="F132" s="75" t="s">
        <v>1658</v>
      </c>
      <c r="G132" s="75" t="s">
        <v>1724</v>
      </c>
      <c r="H132" s="75" t="s">
        <v>1633</v>
      </c>
      <c r="I132" s="75"/>
      <c r="J132" s="74"/>
    </row>
    <row r="133" hidden="1">
      <c r="A133" s="74"/>
      <c r="B133" s="71">
        <v>45647.0</v>
      </c>
      <c r="D133" s="75" t="s">
        <v>408</v>
      </c>
      <c r="E133" s="75" t="s">
        <v>408</v>
      </c>
      <c r="F133" s="75" t="s">
        <v>1758</v>
      </c>
      <c r="G133" s="75" t="s">
        <v>1724</v>
      </c>
      <c r="H133" s="75" t="s">
        <v>1572</v>
      </c>
      <c r="I133" s="75"/>
      <c r="J133" s="74"/>
    </row>
    <row r="134" hidden="1">
      <c r="A134" s="74"/>
      <c r="B134" s="71">
        <v>45648.0</v>
      </c>
      <c r="D134" s="75" t="s">
        <v>408</v>
      </c>
      <c r="E134" s="75" t="s">
        <v>408</v>
      </c>
      <c r="F134" s="75" t="s">
        <v>1759</v>
      </c>
      <c r="G134" s="75" t="s">
        <v>1724</v>
      </c>
      <c r="H134" s="75" t="s">
        <v>1644</v>
      </c>
      <c r="I134" s="75"/>
      <c r="J134" s="74"/>
    </row>
    <row r="135" hidden="1">
      <c r="A135" s="74"/>
      <c r="B135" s="71">
        <v>45649.0</v>
      </c>
      <c r="D135" s="75" t="s">
        <v>408</v>
      </c>
      <c r="E135" s="75" t="s">
        <v>408</v>
      </c>
      <c r="F135" s="75" t="s">
        <v>1758</v>
      </c>
      <c r="G135" s="75" t="s">
        <v>1584</v>
      </c>
      <c r="H135" s="75" t="s">
        <v>1577</v>
      </c>
      <c r="I135" s="75"/>
      <c r="J135" s="74"/>
    </row>
    <row r="136" hidden="1">
      <c r="A136" s="74"/>
      <c r="B136" s="71">
        <v>45650.0</v>
      </c>
      <c r="D136" s="75" t="s">
        <v>408</v>
      </c>
      <c r="E136" s="75" t="s">
        <v>408</v>
      </c>
      <c r="F136" s="75" t="s">
        <v>408</v>
      </c>
      <c r="G136" s="75" t="s">
        <v>1584</v>
      </c>
      <c r="H136" s="75" t="s">
        <v>1575</v>
      </c>
      <c r="I136" s="75"/>
      <c r="J136" s="74"/>
    </row>
    <row r="137" hidden="1">
      <c r="A137" s="74"/>
      <c r="B137" s="71">
        <v>45651.0</v>
      </c>
      <c r="D137" s="75" t="s">
        <v>408</v>
      </c>
      <c r="E137" s="75" t="s">
        <v>408</v>
      </c>
      <c r="F137" s="75" t="s">
        <v>408</v>
      </c>
      <c r="G137" s="75" t="s">
        <v>1584</v>
      </c>
      <c r="H137" s="75" t="s">
        <v>1730</v>
      </c>
      <c r="I137" s="75"/>
      <c r="J137" s="74"/>
    </row>
    <row r="138" hidden="1">
      <c r="A138" s="74"/>
      <c r="B138" s="71">
        <v>45652.0</v>
      </c>
      <c r="D138" s="75" t="s">
        <v>408</v>
      </c>
      <c r="E138" s="75" t="s">
        <v>408</v>
      </c>
      <c r="F138" s="75" t="s">
        <v>408</v>
      </c>
      <c r="G138" s="75" t="s">
        <v>1584</v>
      </c>
      <c r="H138" s="75" t="s">
        <v>1644</v>
      </c>
      <c r="I138" s="75"/>
      <c r="J138" s="74"/>
    </row>
    <row r="139" hidden="1">
      <c r="A139" s="74"/>
      <c r="B139" s="71">
        <v>45653.0</v>
      </c>
      <c r="D139" s="75" t="s">
        <v>408</v>
      </c>
      <c r="E139" s="75" t="s">
        <v>408</v>
      </c>
      <c r="F139" s="75" t="s">
        <v>408</v>
      </c>
      <c r="G139" s="75" t="s">
        <v>1584</v>
      </c>
      <c r="H139" s="75" t="s">
        <v>1577</v>
      </c>
      <c r="I139" s="75"/>
      <c r="J139" s="74"/>
    </row>
    <row r="140" hidden="1">
      <c r="A140" s="74"/>
      <c r="B140" s="71">
        <v>45654.0</v>
      </c>
      <c r="D140" s="75" t="s">
        <v>408</v>
      </c>
      <c r="E140" s="75" t="s">
        <v>408</v>
      </c>
      <c r="F140" s="75" t="s">
        <v>408</v>
      </c>
      <c r="G140" s="75" t="s">
        <v>1584</v>
      </c>
      <c r="H140" s="75" t="s">
        <v>1633</v>
      </c>
      <c r="I140" s="75"/>
      <c r="J140" s="74"/>
    </row>
    <row r="141" hidden="1">
      <c r="A141" s="74"/>
      <c r="B141" s="71">
        <v>45655.0</v>
      </c>
      <c r="D141" s="75" t="s">
        <v>408</v>
      </c>
      <c r="E141" s="75" t="s">
        <v>408</v>
      </c>
      <c r="F141" s="75" t="s">
        <v>408</v>
      </c>
      <c r="G141" s="75" t="s">
        <v>1662</v>
      </c>
      <c r="H141" s="75" t="s">
        <v>1622</v>
      </c>
      <c r="I141" s="75"/>
      <c r="J141" s="74"/>
    </row>
    <row r="142" hidden="1">
      <c r="A142" s="74"/>
      <c r="B142" s="71">
        <v>45656.0</v>
      </c>
      <c r="D142" s="75" t="s">
        <v>408</v>
      </c>
      <c r="E142" s="75" t="s">
        <v>408</v>
      </c>
      <c r="F142" s="75" t="s">
        <v>408</v>
      </c>
      <c r="G142" s="75" t="s">
        <v>1662</v>
      </c>
      <c r="H142" s="75" t="s">
        <v>1585</v>
      </c>
      <c r="I142" s="75"/>
      <c r="J142" s="74"/>
    </row>
    <row r="143" hidden="1">
      <c r="A143" s="74"/>
      <c r="B143" s="71">
        <v>45657.0</v>
      </c>
      <c r="D143" s="75" t="s">
        <v>408</v>
      </c>
      <c r="E143" s="75" t="s">
        <v>408</v>
      </c>
      <c r="F143" s="75" t="s">
        <v>408</v>
      </c>
      <c r="G143" s="75" t="s">
        <v>1662</v>
      </c>
      <c r="H143" s="75" t="s">
        <v>1622</v>
      </c>
      <c r="I143" s="75"/>
      <c r="J143" s="74"/>
    </row>
    <row r="144">
      <c r="A144" s="74"/>
      <c r="B144" s="71">
        <v>45658.0</v>
      </c>
      <c r="D144" s="75" t="s">
        <v>408</v>
      </c>
      <c r="E144" s="75" t="s">
        <v>408</v>
      </c>
      <c r="F144" s="75" t="s">
        <v>408</v>
      </c>
      <c r="G144" s="75" t="s">
        <v>1662</v>
      </c>
      <c r="H144" s="75" t="s">
        <v>1604</v>
      </c>
      <c r="I144" s="75"/>
      <c r="J144" s="74"/>
    </row>
    <row r="145">
      <c r="A145" s="74"/>
      <c r="B145" s="71">
        <v>45659.0</v>
      </c>
      <c r="D145" s="75" t="s">
        <v>408</v>
      </c>
      <c r="E145" s="75" t="s">
        <v>408</v>
      </c>
      <c r="F145" s="75" t="s">
        <v>408</v>
      </c>
      <c r="G145" s="75" t="s">
        <v>1662</v>
      </c>
      <c r="H145" s="75" t="s">
        <v>1657</v>
      </c>
      <c r="I145" s="75"/>
      <c r="J145" s="74"/>
    </row>
    <row r="146">
      <c r="A146" s="74"/>
      <c r="B146" s="71">
        <v>45660.0</v>
      </c>
      <c r="D146" s="75" t="s">
        <v>408</v>
      </c>
      <c r="E146" s="75" t="s">
        <v>408</v>
      </c>
      <c r="F146" s="75" t="s">
        <v>408</v>
      </c>
      <c r="G146" s="75" t="s">
        <v>1662</v>
      </c>
      <c r="H146" s="75" t="s">
        <v>1600</v>
      </c>
      <c r="I146" s="75"/>
      <c r="J146" s="74"/>
    </row>
    <row r="147">
      <c r="A147" s="74"/>
      <c r="B147" s="71">
        <v>45661.0</v>
      </c>
      <c r="D147" s="75" t="s">
        <v>408</v>
      </c>
      <c r="E147" s="75" t="s">
        <v>408</v>
      </c>
      <c r="F147" s="75" t="s">
        <v>408</v>
      </c>
      <c r="G147" s="75" t="s">
        <v>1656</v>
      </c>
      <c r="H147" s="75" t="s">
        <v>1575</v>
      </c>
      <c r="I147" s="75"/>
      <c r="J147" s="74"/>
    </row>
    <row r="148">
      <c r="A148" s="74"/>
      <c r="B148" s="71">
        <v>45662.0</v>
      </c>
      <c r="D148" s="75" t="s">
        <v>408</v>
      </c>
      <c r="E148" s="75" t="s">
        <v>408</v>
      </c>
      <c r="F148" s="75" t="s">
        <v>408</v>
      </c>
      <c r="G148" s="75" t="s">
        <v>1656</v>
      </c>
      <c r="H148" s="75" t="s">
        <v>1595</v>
      </c>
      <c r="I148" s="75"/>
      <c r="J148" s="74"/>
    </row>
    <row r="149">
      <c r="A149" s="74"/>
      <c r="B149" s="71">
        <v>45663.0</v>
      </c>
      <c r="D149" s="75" t="s">
        <v>408</v>
      </c>
      <c r="E149" s="75" t="s">
        <v>408</v>
      </c>
      <c r="F149" s="75" t="s">
        <v>408</v>
      </c>
      <c r="G149" s="75" t="s">
        <v>1656</v>
      </c>
      <c r="H149" s="75" t="s">
        <v>1612</v>
      </c>
      <c r="I149" s="75"/>
      <c r="J149" s="74"/>
    </row>
    <row r="150">
      <c r="A150" s="74"/>
      <c r="B150" s="71">
        <v>45664.0</v>
      </c>
      <c r="D150" s="75" t="s">
        <v>408</v>
      </c>
      <c r="E150" s="75" t="s">
        <v>408</v>
      </c>
      <c r="F150" s="75" t="s">
        <v>1760</v>
      </c>
      <c r="G150" s="75" t="s">
        <v>1621</v>
      </c>
      <c r="H150" s="75" t="s">
        <v>1618</v>
      </c>
      <c r="I150" s="75"/>
      <c r="J150" s="74"/>
    </row>
    <row r="151">
      <c r="A151" s="74"/>
      <c r="B151" s="71">
        <v>45665.0</v>
      </c>
      <c r="D151" s="75" t="s">
        <v>408</v>
      </c>
      <c r="E151" s="75" t="s">
        <v>408</v>
      </c>
      <c r="F151" s="75" t="s">
        <v>1761</v>
      </c>
      <c r="G151" s="75" t="s">
        <v>1621</v>
      </c>
      <c r="H151" s="75" t="s">
        <v>1622</v>
      </c>
      <c r="I151" s="75"/>
      <c r="J151" s="74"/>
    </row>
    <row r="152">
      <c r="A152" s="74"/>
      <c r="B152" s="71">
        <v>45666.0</v>
      </c>
      <c r="D152" s="75" t="s">
        <v>408</v>
      </c>
      <c r="E152" s="75" t="s">
        <v>408</v>
      </c>
      <c r="F152" s="75" t="s">
        <v>1762</v>
      </c>
      <c r="G152" s="75" t="s">
        <v>1621</v>
      </c>
      <c r="H152" s="75" t="s">
        <v>1612</v>
      </c>
      <c r="I152" s="75"/>
      <c r="J152" s="74"/>
    </row>
    <row r="153">
      <c r="A153" s="74"/>
      <c r="B153" s="71">
        <v>45667.0</v>
      </c>
      <c r="D153" s="75" t="s">
        <v>1763</v>
      </c>
      <c r="E153" s="75" t="s">
        <v>408</v>
      </c>
      <c r="F153" s="75" t="s">
        <v>408</v>
      </c>
      <c r="G153" s="75" t="s">
        <v>1621</v>
      </c>
      <c r="H153" s="75" t="s">
        <v>1604</v>
      </c>
      <c r="I153" s="75"/>
      <c r="J153" s="74"/>
    </row>
    <row r="154">
      <c r="A154" s="74"/>
      <c r="B154" s="71">
        <v>45668.0</v>
      </c>
      <c r="D154" s="75" t="s">
        <v>521</v>
      </c>
      <c r="E154" s="75" t="s">
        <v>408</v>
      </c>
      <c r="F154" s="75" t="s">
        <v>408</v>
      </c>
      <c r="G154" s="75" t="s">
        <v>1621</v>
      </c>
      <c r="H154" s="75" t="s">
        <v>1596</v>
      </c>
      <c r="I154" s="75"/>
      <c r="J154" s="74"/>
    </row>
    <row r="155">
      <c r="A155" s="74"/>
      <c r="B155" s="71">
        <v>45669.0</v>
      </c>
      <c r="D155" s="75" t="s">
        <v>422</v>
      </c>
      <c r="E155" s="75" t="s">
        <v>408</v>
      </c>
      <c r="F155" s="75" t="s">
        <v>408</v>
      </c>
      <c r="G155" s="75" t="s">
        <v>1621</v>
      </c>
      <c r="H155" s="75" t="s">
        <v>1604</v>
      </c>
      <c r="I155" s="75"/>
      <c r="J155" s="74"/>
    </row>
    <row r="156">
      <c r="A156" s="74"/>
      <c r="B156" s="71">
        <v>45670.0</v>
      </c>
      <c r="D156" s="75" t="s">
        <v>521</v>
      </c>
      <c r="E156" s="75" t="s">
        <v>408</v>
      </c>
      <c r="F156" s="75" t="s">
        <v>408</v>
      </c>
      <c r="G156" s="75" t="s">
        <v>1621</v>
      </c>
      <c r="H156" s="75" t="s">
        <v>1595</v>
      </c>
      <c r="I156" s="75"/>
      <c r="J156" s="74"/>
    </row>
    <row r="157">
      <c r="A157" s="74"/>
      <c r="B157" s="71">
        <v>45671.0</v>
      </c>
      <c r="D157" s="75" t="s">
        <v>1764</v>
      </c>
      <c r="E157" s="75" t="s">
        <v>408</v>
      </c>
      <c r="F157" s="75" t="s">
        <v>1765</v>
      </c>
      <c r="G157" s="75" t="s">
        <v>1603</v>
      </c>
      <c r="H157" s="75" t="s">
        <v>1596</v>
      </c>
      <c r="I157" s="75"/>
      <c r="J157" s="74"/>
    </row>
    <row r="158">
      <c r="A158" s="74"/>
      <c r="B158" s="71">
        <v>45672.0</v>
      </c>
      <c r="D158" s="75" t="s">
        <v>521</v>
      </c>
      <c r="E158" s="75" t="s">
        <v>408</v>
      </c>
      <c r="F158" s="75" t="s">
        <v>1201</v>
      </c>
      <c r="G158" s="75" t="s">
        <v>1603</v>
      </c>
      <c r="H158" s="75" t="s">
        <v>1612</v>
      </c>
      <c r="I158" s="75"/>
      <c r="J158" s="74"/>
    </row>
    <row r="159">
      <c r="A159" s="74"/>
      <c r="B159" s="71">
        <v>45673.0</v>
      </c>
      <c r="D159" s="75" t="s">
        <v>646</v>
      </c>
      <c r="E159" s="75" t="s">
        <v>408</v>
      </c>
      <c r="F159" s="75" t="s">
        <v>1766</v>
      </c>
      <c r="G159" s="75" t="s">
        <v>1603</v>
      </c>
      <c r="H159" s="75" t="s">
        <v>1633</v>
      </c>
      <c r="I159" s="75"/>
      <c r="J159" s="74"/>
    </row>
    <row r="160">
      <c r="A160" s="74"/>
      <c r="B160" s="71">
        <v>45674.0</v>
      </c>
      <c r="D160" s="75" t="s">
        <v>1767</v>
      </c>
      <c r="E160" s="75" t="s">
        <v>408</v>
      </c>
      <c r="F160" s="75" t="s">
        <v>1768</v>
      </c>
      <c r="G160" s="75" t="s">
        <v>1603</v>
      </c>
      <c r="H160" s="75" t="s">
        <v>1622</v>
      </c>
      <c r="I160" s="75"/>
      <c r="J160" s="74"/>
    </row>
    <row r="161">
      <c r="A161" s="74"/>
      <c r="B161" s="71">
        <v>45675.0</v>
      </c>
      <c r="D161" s="75" t="s">
        <v>1769</v>
      </c>
      <c r="E161" s="75" t="s">
        <v>408</v>
      </c>
      <c r="F161" s="75" t="s">
        <v>1770</v>
      </c>
      <c r="G161" s="75" t="s">
        <v>1603</v>
      </c>
      <c r="H161" s="75" t="s">
        <v>1596</v>
      </c>
      <c r="I161" s="75"/>
      <c r="J161" s="74"/>
    </row>
    <row r="162">
      <c r="A162" s="74"/>
      <c r="B162" s="71">
        <v>45676.0</v>
      </c>
      <c r="D162" s="75" t="s">
        <v>1771</v>
      </c>
      <c r="E162" s="75" t="s">
        <v>408</v>
      </c>
      <c r="F162" s="75" t="s">
        <v>1772</v>
      </c>
      <c r="G162" s="75" t="s">
        <v>1603</v>
      </c>
      <c r="H162" s="75" t="s">
        <v>1612</v>
      </c>
      <c r="I162" s="75"/>
      <c r="J162" s="74"/>
    </row>
    <row r="163">
      <c r="A163" s="74"/>
      <c r="B163" s="71">
        <v>45677.0</v>
      </c>
      <c r="D163" s="75" t="s">
        <v>1773</v>
      </c>
      <c r="E163" s="75" t="s">
        <v>408</v>
      </c>
      <c r="F163" s="75" t="s">
        <v>1774</v>
      </c>
      <c r="G163" s="75" t="s">
        <v>1603</v>
      </c>
      <c r="H163" s="75" t="s">
        <v>1646</v>
      </c>
      <c r="I163" s="75"/>
      <c r="J163" s="74"/>
    </row>
    <row r="164">
      <c r="A164" s="74"/>
      <c r="B164" s="71">
        <v>45678.0</v>
      </c>
      <c r="D164" s="75" t="s">
        <v>1775</v>
      </c>
      <c r="E164" s="75" t="s">
        <v>408</v>
      </c>
      <c r="F164" s="75" t="s">
        <v>1776</v>
      </c>
      <c r="G164" s="75" t="s">
        <v>1568</v>
      </c>
      <c r="H164" s="75" t="s">
        <v>1596</v>
      </c>
      <c r="I164" s="75"/>
      <c r="J164" s="74"/>
    </row>
    <row r="165">
      <c r="A165" s="74"/>
      <c r="B165" s="71">
        <v>45679.0</v>
      </c>
      <c r="D165" s="75" t="s">
        <v>1777</v>
      </c>
      <c r="E165" s="75" t="s">
        <v>408</v>
      </c>
      <c r="F165" s="75" t="s">
        <v>1778</v>
      </c>
      <c r="G165" s="75" t="s">
        <v>1568</v>
      </c>
      <c r="H165" s="75" t="s">
        <v>1618</v>
      </c>
      <c r="I165" s="75"/>
      <c r="J165" s="74"/>
    </row>
    <row r="166">
      <c r="A166" s="74"/>
      <c r="B166" s="71">
        <v>45680.0</v>
      </c>
      <c r="D166" s="75" t="s">
        <v>1779</v>
      </c>
      <c r="E166" s="75" t="s">
        <v>408</v>
      </c>
      <c r="F166" s="75" t="s">
        <v>1617</v>
      </c>
      <c r="G166" s="75" t="s">
        <v>1568</v>
      </c>
      <c r="H166" s="75" t="s">
        <v>1572</v>
      </c>
      <c r="I166" s="75"/>
      <c r="J166" s="74"/>
    </row>
    <row r="167">
      <c r="A167" s="74"/>
      <c r="B167" s="71">
        <v>45681.0</v>
      </c>
      <c r="D167" s="75" t="s">
        <v>662</v>
      </c>
      <c r="E167" s="75" t="s">
        <v>408</v>
      </c>
      <c r="F167" s="75" t="s">
        <v>1778</v>
      </c>
      <c r="G167" s="75" t="s">
        <v>1568</v>
      </c>
      <c r="H167" s="75" t="s">
        <v>1575</v>
      </c>
      <c r="I167" s="75"/>
      <c r="J167" s="74"/>
    </row>
    <row r="168">
      <c r="A168" s="74"/>
      <c r="B168" s="71">
        <v>45682.0</v>
      </c>
      <c r="D168" s="75" t="s">
        <v>1435</v>
      </c>
      <c r="E168" s="75" t="s">
        <v>408</v>
      </c>
      <c r="F168" s="75" t="s">
        <v>1778</v>
      </c>
      <c r="G168" s="75" t="s">
        <v>1568</v>
      </c>
      <c r="H168" s="75" t="s">
        <v>1615</v>
      </c>
      <c r="I168" s="75"/>
      <c r="J168" s="74"/>
    </row>
    <row r="169">
      <c r="A169" s="74"/>
      <c r="B169" s="71">
        <v>45683.0</v>
      </c>
      <c r="D169" s="75" t="s">
        <v>1777</v>
      </c>
      <c r="E169" s="75" t="s">
        <v>408</v>
      </c>
      <c r="F169" s="75" t="s">
        <v>1778</v>
      </c>
      <c r="G169" s="75" t="s">
        <v>1568</v>
      </c>
      <c r="H169" s="75" t="s">
        <v>1572</v>
      </c>
      <c r="I169" s="75"/>
      <c r="J169" s="74"/>
    </row>
    <row r="170">
      <c r="A170" s="74"/>
      <c r="B170" s="71">
        <v>45684.0</v>
      </c>
      <c r="D170" s="75" t="s">
        <v>1773</v>
      </c>
      <c r="E170" s="75" t="s">
        <v>408</v>
      </c>
      <c r="F170" s="75" t="s">
        <v>583</v>
      </c>
      <c r="G170" s="75" t="s">
        <v>1568</v>
      </c>
      <c r="H170" s="75" t="s">
        <v>1639</v>
      </c>
      <c r="I170" s="75"/>
      <c r="J170" s="74"/>
    </row>
    <row r="171">
      <c r="A171" s="74"/>
      <c r="B171" s="71">
        <v>45685.0</v>
      </c>
      <c r="D171" s="75" t="s">
        <v>1780</v>
      </c>
      <c r="E171" s="75" t="s">
        <v>408</v>
      </c>
      <c r="F171" s="75" t="s">
        <v>756</v>
      </c>
      <c r="G171" s="75" t="s">
        <v>1781</v>
      </c>
      <c r="H171" s="75" t="s">
        <v>1577</v>
      </c>
      <c r="I171" s="75"/>
      <c r="J171" s="74"/>
    </row>
    <row r="172">
      <c r="A172" s="74"/>
      <c r="B172" s="71">
        <v>45686.0</v>
      </c>
      <c r="D172" s="75" t="s">
        <v>1782</v>
      </c>
      <c r="E172" s="75" t="s">
        <v>408</v>
      </c>
      <c r="F172" s="75" t="s">
        <v>1778</v>
      </c>
      <c r="G172" s="75" t="s">
        <v>1781</v>
      </c>
      <c r="H172" s="75" t="s">
        <v>1585</v>
      </c>
      <c r="I172" s="75"/>
      <c r="J172" s="74"/>
    </row>
    <row r="173">
      <c r="A173" s="74"/>
      <c r="B173" s="71">
        <v>45687.0</v>
      </c>
      <c r="D173" s="75" t="s">
        <v>1773</v>
      </c>
      <c r="E173" s="75" t="s">
        <v>408</v>
      </c>
      <c r="F173" s="75" t="s">
        <v>1778</v>
      </c>
      <c r="G173" s="75" t="s">
        <v>1781</v>
      </c>
      <c r="H173" s="75" t="s">
        <v>1639</v>
      </c>
      <c r="I173" s="75"/>
      <c r="J173" s="74"/>
    </row>
    <row r="174">
      <c r="A174" s="74"/>
      <c r="B174" s="71">
        <v>45688.0</v>
      </c>
      <c r="D174" s="75" t="s">
        <v>187</v>
      </c>
      <c r="E174" s="75" t="s">
        <v>408</v>
      </c>
      <c r="F174" s="75" t="s">
        <v>1783</v>
      </c>
      <c r="G174" s="75" t="s">
        <v>1781</v>
      </c>
      <c r="H174" s="75" t="s">
        <v>1615</v>
      </c>
      <c r="I174" s="75"/>
      <c r="J174" s="74"/>
    </row>
    <row r="175">
      <c r="A175" s="74"/>
      <c r="B175" s="71">
        <v>45689.0</v>
      </c>
      <c r="D175" s="75" t="s">
        <v>1784</v>
      </c>
      <c r="E175" s="75" t="s">
        <v>408</v>
      </c>
      <c r="F175" s="75" t="s">
        <v>1785</v>
      </c>
      <c r="G175" s="75" t="s">
        <v>1781</v>
      </c>
      <c r="H175" s="75" t="s">
        <v>1646</v>
      </c>
      <c r="I175" s="75"/>
      <c r="J175" s="74"/>
    </row>
    <row r="176">
      <c r="A176" s="74"/>
      <c r="B176" s="71">
        <v>45690.0</v>
      </c>
      <c r="D176" s="75" t="s">
        <v>1786</v>
      </c>
      <c r="E176" s="75" t="s">
        <v>408</v>
      </c>
      <c r="F176" s="75" t="s">
        <v>1632</v>
      </c>
      <c r="G176" s="75" t="s">
        <v>1781</v>
      </c>
      <c r="H176" s="75" t="s">
        <v>1577</v>
      </c>
      <c r="I176" s="75"/>
      <c r="J176" s="74"/>
    </row>
    <row r="177">
      <c r="A177" s="74"/>
      <c r="B177" s="71">
        <v>45691.0</v>
      </c>
      <c r="D177" s="75" t="s">
        <v>478</v>
      </c>
      <c r="E177" s="75" t="s">
        <v>408</v>
      </c>
      <c r="F177" s="75" t="s">
        <v>1617</v>
      </c>
      <c r="G177" s="75" t="s">
        <v>1781</v>
      </c>
      <c r="H177" s="75" t="s">
        <v>1657</v>
      </c>
      <c r="I177" s="75"/>
      <c r="J177" s="74"/>
    </row>
    <row r="178">
      <c r="A178" s="74"/>
      <c r="B178" s="71">
        <v>45692.0</v>
      </c>
      <c r="D178" s="75" t="s">
        <v>593</v>
      </c>
      <c r="E178" s="75" t="s">
        <v>408</v>
      </c>
      <c r="F178" s="75" t="s">
        <v>1632</v>
      </c>
      <c r="G178" s="75" t="s">
        <v>1787</v>
      </c>
      <c r="H178" s="75" t="s">
        <v>1615</v>
      </c>
      <c r="I178" s="75"/>
      <c r="J178" s="74"/>
    </row>
    <row r="179">
      <c r="A179" s="74"/>
      <c r="B179" s="71">
        <v>45693.0</v>
      </c>
      <c r="D179" s="75" t="s">
        <v>1788</v>
      </c>
      <c r="E179" s="75" t="s">
        <v>408</v>
      </c>
      <c r="F179" s="75" t="s">
        <v>257</v>
      </c>
      <c r="G179" s="75" t="s">
        <v>1787</v>
      </c>
      <c r="H179" s="75" t="s">
        <v>1592</v>
      </c>
      <c r="I179" s="75"/>
      <c r="J179" s="74"/>
    </row>
    <row r="180">
      <c r="A180" s="74"/>
      <c r="B180" s="71">
        <v>45694.0</v>
      </c>
      <c r="D180" s="75" t="s">
        <v>431</v>
      </c>
      <c r="E180" s="75" t="s">
        <v>408</v>
      </c>
      <c r="F180" s="75" t="s">
        <v>1789</v>
      </c>
      <c r="G180" s="75" t="s">
        <v>1787</v>
      </c>
      <c r="H180" s="75" t="s">
        <v>1600</v>
      </c>
      <c r="I180" s="75"/>
      <c r="J180" s="74"/>
    </row>
    <row r="181">
      <c r="A181" s="74"/>
      <c r="B181" s="71">
        <v>45695.0</v>
      </c>
      <c r="D181" s="75" t="s">
        <v>1734</v>
      </c>
      <c r="E181" s="75" t="s">
        <v>1778</v>
      </c>
      <c r="F181" s="75" t="s">
        <v>1774</v>
      </c>
      <c r="G181" s="75" t="s">
        <v>1787</v>
      </c>
      <c r="H181" s="75" t="s">
        <v>1618</v>
      </c>
      <c r="I181" s="75"/>
      <c r="J181" s="74"/>
    </row>
    <row r="182">
      <c r="A182" s="74"/>
      <c r="B182" s="71">
        <v>45696.0</v>
      </c>
      <c r="D182" s="75" t="s">
        <v>1790</v>
      </c>
      <c r="E182" s="75" t="s">
        <v>659</v>
      </c>
      <c r="F182" s="75" t="s">
        <v>1778</v>
      </c>
      <c r="G182" s="75" t="s">
        <v>1787</v>
      </c>
      <c r="H182" s="75" t="s">
        <v>1575</v>
      </c>
      <c r="I182" s="75"/>
      <c r="J182" s="74"/>
    </row>
    <row r="183">
      <c r="A183" s="74"/>
      <c r="B183" s="71">
        <v>45697.0</v>
      </c>
      <c r="D183" s="75" t="s">
        <v>1791</v>
      </c>
      <c r="E183" s="75" t="s">
        <v>1778</v>
      </c>
      <c r="F183" s="75" t="s">
        <v>610</v>
      </c>
      <c r="G183" s="75" t="s">
        <v>1787</v>
      </c>
      <c r="H183" s="75" t="s">
        <v>1657</v>
      </c>
      <c r="I183" s="75"/>
      <c r="J183" s="74"/>
    </row>
    <row r="184">
      <c r="A184" s="74"/>
      <c r="B184" s="71">
        <v>45698.0</v>
      </c>
      <c r="D184" s="75" t="s">
        <v>1725</v>
      </c>
      <c r="E184" s="75" t="s">
        <v>1792</v>
      </c>
      <c r="F184" s="75" t="s">
        <v>1793</v>
      </c>
      <c r="G184" s="75" t="s">
        <v>1794</v>
      </c>
      <c r="H184" s="75" t="s">
        <v>1633</v>
      </c>
      <c r="I184" s="75"/>
      <c r="J184" s="74"/>
    </row>
    <row r="185">
      <c r="A185" s="74"/>
      <c r="B185" s="71">
        <v>45699.0</v>
      </c>
      <c r="D185" s="75" t="s">
        <v>1795</v>
      </c>
      <c r="E185" s="75" t="s">
        <v>1796</v>
      </c>
      <c r="F185" s="75" t="s">
        <v>1797</v>
      </c>
      <c r="G185" s="75" t="s">
        <v>1794</v>
      </c>
      <c r="H185" s="75" t="s">
        <v>1572</v>
      </c>
      <c r="I185" s="75"/>
      <c r="J185" s="74"/>
    </row>
    <row r="186">
      <c r="A186" s="74"/>
      <c r="B186" s="71">
        <v>45700.0</v>
      </c>
      <c r="D186" s="75" t="s">
        <v>1798</v>
      </c>
      <c r="E186" s="75" t="s">
        <v>621</v>
      </c>
      <c r="F186" s="75" t="s">
        <v>756</v>
      </c>
      <c r="G186" s="75" t="s">
        <v>1794</v>
      </c>
      <c r="H186" s="75" t="s">
        <v>1612</v>
      </c>
      <c r="I186" s="75"/>
      <c r="J186" s="74"/>
    </row>
    <row r="187">
      <c r="A187" s="74"/>
      <c r="B187" s="71">
        <v>45701.0</v>
      </c>
      <c r="D187" s="75" t="s">
        <v>591</v>
      </c>
      <c r="E187" s="75" t="s">
        <v>659</v>
      </c>
      <c r="F187" s="75" t="s">
        <v>583</v>
      </c>
      <c r="G187" s="75" t="s">
        <v>1794</v>
      </c>
      <c r="H187" s="75" t="s">
        <v>1622</v>
      </c>
      <c r="I187" s="75"/>
      <c r="J187" s="74"/>
    </row>
    <row r="188">
      <c r="A188" s="74"/>
      <c r="B188" s="71">
        <v>45702.0</v>
      </c>
      <c r="D188" s="75" t="s">
        <v>662</v>
      </c>
      <c r="E188" s="75" t="s">
        <v>1778</v>
      </c>
      <c r="F188" s="75" t="s">
        <v>1799</v>
      </c>
      <c r="G188" s="75" t="s">
        <v>1800</v>
      </c>
      <c r="H188" s="75" t="s">
        <v>1646</v>
      </c>
      <c r="I188" s="75"/>
      <c r="J188" s="74"/>
    </row>
    <row r="189">
      <c r="A189" s="74"/>
      <c r="B189" s="71">
        <v>45703.0</v>
      </c>
      <c r="D189" s="75" t="s">
        <v>1801</v>
      </c>
      <c r="E189" s="75" t="s">
        <v>1802</v>
      </c>
      <c r="F189" s="75" t="s">
        <v>1803</v>
      </c>
      <c r="G189" s="75" t="s">
        <v>1800</v>
      </c>
      <c r="H189" s="75" t="s">
        <v>1615</v>
      </c>
      <c r="I189" s="75"/>
      <c r="J189" s="74"/>
    </row>
    <row r="190">
      <c r="A190" s="74"/>
      <c r="B190" s="71">
        <v>45704.0</v>
      </c>
      <c r="D190" s="75" t="s">
        <v>662</v>
      </c>
      <c r="E190" s="75" t="s">
        <v>1778</v>
      </c>
      <c r="F190" s="75" t="s">
        <v>1567</v>
      </c>
      <c r="G190" s="75" t="s">
        <v>1800</v>
      </c>
      <c r="H190" s="75" t="s">
        <v>1730</v>
      </c>
      <c r="I190" s="75"/>
      <c r="J190" s="74"/>
    </row>
    <row r="191">
      <c r="A191" s="74"/>
      <c r="B191" s="71">
        <v>45705.0</v>
      </c>
      <c r="D191" s="75" t="s">
        <v>1804</v>
      </c>
      <c r="E191" s="75" t="s">
        <v>1802</v>
      </c>
      <c r="F191" s="75" t="s">
        <v>1805</v>
      </c>
      <c r="G191" s="75" t="s">
        <v>1800</v>
      </c>
      <c r="H191" s="75" t="s">
        <v>1596</v>
      </c>
      <c r="I191" s="75"/>
      <c r="J191" s="74"/>
    </row>
    <row r="192">
      <c r="A192" s="74"/>
      <c r="B192" s="71">
        <v>45706.0</v>
      </c>
      <c r="D192" s="75" t="s">
        <v>1481</v>
      </c>
      <c r="E192" s="75" t="s">
        <v>1806</v>
      </c>
      <c r="F192" s="75" t="s">
        <v>1807</v>
      </c>
      <c r="G192" s="75" t="s">
        <v>1808</v>
      </c>
      <c r="H192" s="75" t="s">
        <v>1595</v>
      </c>
      <c r="I192" s="75"/>
      <c r="J192" s="74"/>
    </row>
    <row r="193">
      <c r="A193" s="74"/>
      <c r="B193" s="71">
        <v>45707.0</v>
      </c>
      <c r="D193" s="75" t="s">
        <v>1809</v>
      </c>
      <c r="E193" s="75" t="s">
        <v>1810</v>
      </c>
      <c r="F193" s="75" t="s">
        <v>1811</v>
      </c>
      <c r="G193" s="75" t="s">
        <v>1808</v>
      </c>
      <c r="H193" s="75" t="s">
        <v>1639</v>
      </c>
      <c r="I193" s="75"/>
      <c r="J193" s="74"/>
    </row>
    <row r="194">
      <c r="A194" s="74"/>
      <c r="B194" s="71">
        <v>45708.0</v>
      </c>
      <c r="D194" s="75" t="s">
        <v>1725</v>
      </c>
      <c r="E194" s="75" t="s">
        <v>611</v>
      </c>
      <c r="F194" s="75" t="s">
        <v>1812</v>
      </c>
      <c r="G194" s="75" t="s">
        <v>1808</v>
      </c>
      <c r="H194" s="75" t="s">
        <v>1596</v>
      </c>
      <c r="I194" s="75"/>
      <c r="J194" s="74"/>
    </row>
    <row r="195">
      <c r="A195" s="74"/>
      <c r="B195" s="71">
        <v>45709.0</v>
      </c>
      <c r="D195" s="75" t="s">
        <v>1813</v>
      </c>
      <c r="E195" s="75" t="s">
        <v>1814</v>
      </c>
      <c r="F195" s="75" t="s">
        <v>1815</v>
      </c>
      <c r="G195" s="75" t="s">
        <v>1808</v>
      </c>
      <c r="H195" s="75" t="s">
        <v>1604</v>
      </c>
      <c r="I195" s="75"/>
      <c r="J195" s="74"/>
    </row>
    <row r="196">
      <c r="A196" s="74"/>
      <c r="B196" s="71">
        <v>45710.0</v>
      </c>
      <c r="D196" s="75" t="s">
        <v>1816</v>
      </c>
      <c r="E196" s="75" t="s">
        <v>408</v>
      </c>
      <c r="F196" s="75" t="s">
        <v>1797</v>
      </c>
      <c r="G196" s="75" t="s">
        <v>1808</v>
      </c>
      <c r="H196" s="75" t="s">
        <v>1639</v>
      </c>
      <c r="I196" s="75"/>
      <c r="J196" s="74"/>
    </row>
    <row r="197">
      <c r="A197" s="74"/>
      <c r="B197" s="71">
        <v>45711.0</v>
      </c>
      <c r="D197" s="75" t="s">
        <v>1817</v>
      </c>
      <c r="E197" s="75" t="s">
        <v>408</v>
      </c>
      <c r="F197" s="75" t="s">
        <v>1818</v>
      </c>
      <c r="G197" s="75" t="s">
        <v>1808</v>
      </c>
      <c r="H197" s="75" t="s">
        <v>1592</v>
      </c>
      <c r="I197" s="75"/>
      <c r="J197" s="74"/>
    </row>
    <row r="198">
      <c r="A198" s="74"/>
      <c r="B198" s="71">
        <v>45712.0</v>
      </c>
      <c r="D198" s="75" t="s">
        <v>1819</v>
      </c>
      <c r="E198" s="75" t="s">
        <v>1820</v>
      </c>
      <c r="F198" s="75" t="s">
        <v>1821</v>
      </c>
      <c r="G198" s="75" t="s">
        <v>1808</v>
      </c>
      <c r="H198" s="75" t="s">
        <v>1622</v>
      </c>
      <c r="I198" s="75"/>
      <c r="J198" s="74"/>
    </row>
    <row r="199">
      <c r="A199" s="74"/>
      <c r="B199" s="71">
        <v>45713.0</v>
      </c>
      <c r="D199" s="75" t="s">
        <v>686</v>
      </c>
      <c r="E199" s="75" t="s">
        <v>1822</v>
      </c>
      <c r="F199" s="75" t="s">
        <v>1778</v>
      </c>
      <c r="G199" s="75" t="s">
        <v>1800</v>
      </c>
      <c r="H199" s="75" t="s">
        <v>1577</v>
      </c>
      <c r="I199" s="75"/>
      <c r="J199" s="74"/>
    </row>
    <row r="200">
      <c r="A200" s="74"/>
      <c r="B200" s="71">
        <v>45714.0</v>
      </c>
      <c r="D200" s="75" t="s">
        <v>1823</v>
      </c>
      <c r="E200" s="75" t="s">
        <v>1824</v>
      </c>
      <c r="F200" s="75" t="s">
        <v>1825</v>
      </c>
      <c r="G200" s="75" t="s">
        <v>1800</v>
      </c>
      <c r="H200" s="75" t="s">
        <v>1585</v>
      </c>
      <c r="I200" s="75"/>
      <c r="J200" s="74"/>
    </row>
    <row r="201">
      <c r="A201" s="74"/>
      <c r="B201" s="71">
        <v>45715.0</v>
      </c>
      <c r="D201" s="75" t="s">
        <v>1826</v>
      </c>
      <c r="E201" s="75" t="s">
        <v>1827</v>
      </c>
      <c r="F201" s="75" t="s">
        <v>1828</v>
      </c>
      <c r="G201" s="75" t="s">
        <v>1800</v>
      </c>
      <c r="H201" s="75" t="s">
        <v>1657</v>
      </c>
      <c r="I201" s="75"/>
      <c r="J201" s="74"/>
    </row>
    <row r="202">
      <c r="A202" s="74"/>
      <c r="B202" s="71">
        <v>45716.0</v>
      </c>
      <c r="D202" s="75" t="s">
        <v>1778</v>
      </c>
      <c r="E202" s="75" t="s">
        <v>1829</v>
      </c>
      <c r="F202" s="75" t="s">
        <v>1830</v>
      </c>
      <c r="G202" s="75" t="s">
        <v>1800</v>
      </c>
      <c r="H202" s="75" t="s">
        <v>1615</v>
      </c>
      <c r="I202" s="75"/>
      <c r="J202" s="74"/>
    </row>
    <row r="203">
      <c r="A203" s="74"/>
      <c r="B203" s="71">
        <v>45717.0</v>
      </c>
      <c r="D203" s="75" t="s">
        <v>1778</v>
      </c>
      <c r="E203" s="75" t="s">
        <v>1831</v>
      </c>
      <c r="F203" s="75" t="s">
        <v>1832</v>
      </c>
      <c r="G203" s="75" t="s">
        <v>1800</v>
      </c>
      <c r="H203" s="76" t="s">
        <v>1730</v>
      </c>
      <c r="I203" s="76"/>
      <c r="J203" s="74"/>
    </row>
    <row r="204">
      <c r="A204" s="74"/>
      <c r="B204" s="71">
        <v>45718.0</v>
      </c>
      <c r="D204" s="75" t="s">
        <v>1833</v>
      </c>
      <c r="E204" s="75" t="s">
        <v>1834</v>
      </c>
      <c r="F204" s="75" t="s">
        <v>1835</v>
      </c>
      <c r="G204" s="75" t="s">
        <v>1800</v>
      </c>
      <c r="H204" s="76" t="s">
        <v>1836</v>
      </c>
      <c r="I204" s="76"/>
      <c r="J204" s="74"/>
    </row>
    <row r="205">
      <c r="A205" s="74"/>
      <c r="B205" s="71">
        <v>45719.0</v>
      </c>
      <c r="D205" s="75" t="s">
        <v>1837</v>
      </c>
      <c r="E205" s="75" t="s">
        <v>1838</v>
      </c>
      <c r="F205" s="75" t="s">
        <v>1839</v>
      </c>
      <c r="G205" s="75" t="s">
        <v>1800</v>
      </c>
      <c r="H205" s="76" t="s">
        <v>1600</v>
      </c>
      <c r="I205" s="76"/>
      <c r="J205" s="74"/>
    </row>
    <row r="206">
      <c r="A206" s="74"/>
      <c r="B206" s="71">
        <v>45720.0</v>
      </c>
      <c r="D206" s="75" t="s">
        <v>1840</v>
      </c>
      <c r="E206" s="75" t="s">
        <v>1841</v>
      </c>
      <c r="F206" s="75" t="s">
        <v>1842</v>
      </c>
      <c r="G206" s="75" t="s">
        <v>1800</v>
      </c>
      <c r="H206" s="76" t="s">
        <v>1639</v>
      </c>
      <c r="I206" s="76"/>
      <c r="J206" s="74"/>
    </row>
    <row r="207">
      <c r="A207" s="74"/>
      <c r="B207" s="71">
        <v>45721.0</v>
      </c>
      <c r="D207" s="75" t="s">
        <v>1843</v>
      </c>
      <c r="E207" s="75" t="s">
        <v>1844</v>
      </c>
      <c r="F207" s="75" t="s">
        <v>1845</v>
      </c>
      <c r="G207" s="75" t="s">
        <v>1800</v>
      </c>
      <c r="H207" s="76" t="s">
        <v>1836</v>
      </c>
      <c r="I207" s="76"/>
      <c r="J207" s="74"/>
    </row>
    <row r="208">
      <c r="A208" s="74"/>
      <c r="B208" s="71">
        <v>45722.0</v>
      </c>
      <c r="D208" s="75" t="s">
        <v>1778</v>
      </c>
      <c r="E208" s="75" t="s">
        <v>1824</v>
      </c>
      <c r="F208" s="75" t="s">
        <v>1846</v>
      </c>
      <c r="G208" s="75" t="s">
        <v>1847</v>
      </c>
      <c r="H208" s="76" t="s">
        <v>1848</v>
      </c>
      <c r="I208" s="76"/>
      <c r="J208" s="74"/>
    </row>
    <row r="209">
      <c r="A209" s="74"/>
      <c r="B209" s="71">
        <v>45723.0</v>
      </c>
      <c r="D209" s="75" t="s">
        <v>1849</v>
      </c>
      <c r="E209" s="75" t="s">
        <v>1850</v>
      </c>
      <c r="F209" s="75" t="s">
        <v>919</v>
      </c>
      <c r="G209" s="75" t="s">
        <v>1847</v>
      </c>
      <c r="H209" s="76" t="s">
        <v>1851</v>
      </c>
      <c r="I209" s="76"/>
      <c r="J209" s="74"/>
    </row>
    <row r="210">
      <c r="A210" s="74"/>
      <c r="B210" s="71">
        <v>45724.0</v>
      </c>
      <c r="D210" s="75" t="s">
        <v>1852</v>
      </c>
      <c r="E210" s="75" t="s">
        <v>1778</v>
      </c>
      <c r="F210" s="75" t="s">
        <v>1853</v>
      </c>
      <c r="G210" s="75" t="s">
        <v>1847</v>
      </c>
      <c r="H210" s="76" t="s">
        <v>1836</v>
      </c>
      <c r="I210" s="76"/>
      <c r="J210" s="74"/>
    </row>
    <row r="211">
      <c r="A211" s="74"/>
      <c r="B211" s="71">
        <v>45725.0</v>
      </c>
      <c r="D211" s="75" t="s">
        <v>1854</v>
      </c>
      <c r="E211" s="75" t="s">
        <v>1778</v>
      </c>
      <c r="F211" s="75" t="s">
        <v>1855</v>
      </c>
      <c r="G211" s="75" t="s">
        <v>1847</v>
      </c>
      <c r="H211" s="76" t="s">
        <v>1848</v>
      </c>
      <c r="I211" s="76"/>
      <c r="J211" s="74"/>
    </row>
    <row r="212">
      <c r="A212" s="74"/>
      <c r="B212" s="71">
        <v>45726.0</v>
      </c>
      <c r="D212" s="75" t="s">
        <v>669</v>
      </c>
      <c r="E212" s="75" t="s">
        <v>1820</v>
      </c>
      <c r="F212" s="75" t="s">
        <v>1815</v>
      </c>
      <c r="G212" s="75" t="s">
        <v>1787</v>
      </c>
      <c r="H212" s="76" t="s">
        <v>1592</v>
      </c>
      <c r="I212" s="76"/>
      <c r="J212" s="74"/>
    </row>
    <row r="213">
      <c r="A213" s="74"/>
      <c r="B213" s="71">
        <v>45727.0</v>
      </c>
      <c r="D213" s="75" t="s">
        <v>1856</v>
      </c>
      <c r="E213" s="75" t="s">
        <v>1857</v>
      </c>
      <c r="F213" s="75" t="s">
        <v>1858</v>
      </c>
      <c r="G213" s="75" t="s">
        <v>1787</v>
      </c>
      <c r="H213" s="76" t="s">
        <v>1595</v>
      </c>
      <c r="I213" s="76"/>
      <c r="J213" s="74"/>
    </row>
    <row r="214">
      <c r="A214" s="74"/>
      <c r="B214" s="71">
        <v>45728.0</v>
      </c>
      <c r="D214" s="75" t="s">
        <v>669</v>
      </c>
      <c r="E214" s="75" t="s">
        <v>1859</v>
      </c>
      <c r="F214" s="75" t="s">
        <v>1860</v>
      </c>
      <c r="G214" s="75" t="s">
        <v>1787</v>
      </c>
      <c r="H214" s="76" t="s">
        <v>1836</v>
      </c>
      <c r="I214" s="76"/>
      <c r="J214" s="74"/>
    </row>
    <row r="215">
      <c r="A215" s="74"/>
      <c r="B215" s="71">
        <v>45729.0</v>
      </c>
      <c r="D215" s="75" t="s">
        <v>1861</v>
      </c>
      <c r="E215" s="75" t="s">
        <v>1862</v>
      </c>
      <c r="F215" s="75" t="s">
        <v>1863</v>
      </c>
      <c r="G215" s="75" t="s">
        <v>1787</v>
      </c>
      <c r="H215" s="76" t="s">
        <v>1600</v>
      </c>
      <c r="I215" s="76"/>
      <c r="J215" s="74"/>
    </row>
    <row r="216">
      <c r="A216" s="74"/>
      <c r="B216" s="71">
        <v>45730.0</v>
      </c>
      <c r="D216" s="75" t="s">
        <v>1864</v>
      </c>
      <c r="E216" s="75" t="s">
        <v>1865</v>
      </c>
      <c r="F216" s="75" t="s">
        <v>1866</v>
      </c>
      <c r="G216" s="75" t="s">
        <v>1787</v>
      </c>
      <c r="H216" s="76" t="s">
        <v>1604</v>
      </c>
      <c r="I216" s="76"/>
      <c r="J216" s="74"/>
    </row>
    <row r="217">
      <c r="A217" s="74"/>
      <c r="B217" s="71">
        <v>45731.0</v>
      </c>
      <c r="D217" s="75" t="s">
        <v>796</v>
      </c>
      <c r="E217" s="75" t="s">
        <v>1778</v>
      </c>
      <c r="F217" s="75" t="s">
        <v>1617</v>
      </c>
      <c r="G217" s="75" t="s">
        <v>1787</v>
      </c>
      <c r="H217" s="76" t="s">
        <v>1851</v>
      </c>
      <c r="I217" s="76"/>
      <c r="J217" s="74"/>
    </row>
    <row r="218">
      <c r="A218" s="74"/>
      <c r="B218" s="71">
        <v>45732.0</v>
      </c>
      <c r="D218" s="75" t="s">
        <v>1650</v>
      </c>
      <c r="E218" s="75" t="s">
        <v>408</v>
      </c>
      <c r="F218" s="75" t="s">
        <v>1106</v>
      </c>
      <c r="G218" s="75" t="s">
        <v>1787</v>
      </c>
      <c r="H218" s="76" t="s">
        <v>1848</v>
      </c>
      <c r="I218" s="76"/>
      <c r="J218" s="74"/>
    </row>
    <row r="219">
      <c r="A219" s="74"/>
      <c r="B219" s="71">
        <v>45733.0</v>
      </c>
      <c r="D219" s="75" t="s">
        <v>1867</v>
      </c>
      <c r="E219" s="75" t="s">
        <v>408</v>
      </c>
      <c r="F219" s="75" t="s">
        <v>546</v>
      </c>
      <c r="G219" s="75" t="s">
        <v>1787</v>
      </c>
      <c r="H219" s="76" t="s">
        <v>1868</v>
      </c>
      <c r="I219" s="76"/>
      <c r="J219" s="74"/>
    </row>
    <row r="220">
      <c r="A220" s="74"/>
      <c r="B220" s="71">
        <v>45734.0</v>
      </c>
      <c r="D220" s="75" t="s">
        <v>1869</v>
      </c>
      <c r="E220" s="75" t="s">
        <v>408</v>
      </c>
      <c r="F220" s="75" t="s">
        <v>817</v>
      </c>
      <c r="G220" s="75" t="s">
        <v>1847</v>
      </c>
      <c r="H220" s="76" t="s">
        <v>1596</v>
      </c>
      <c r="I220" s="76"/>
      <c r="J220" s="74"/>
    </row>
    <row r="221">
      <c r="A221" s="74"/>
      <c r="B221" s="71">
        <v>45735.0</v>
      </c>
      <c r="D221" s="75" t="s">
        <v>1870</v>
      </c>
      <c r="E221" s="75" t="s">
        <v>408</v>
      </c>
      <c r="F221" s="75" t="s">
        <v>1871</v>
      </c>
      <c r="G221" s="75" t="s">
        <v>1847</v>
      </c>
      <c r="H221" s="76" t="s">
        <v>1730</v>
      </c>
      <c r="I221" s="76"/>
      <c r="J221" s="74"/>
    </row>
    <row r="222">
      <c r="A222" s="74"/>
      <c r="B222" s="71">
        <v>45736.0</v>
      </c>
      <c r="D222" s="75" t="s">
        <v>876</v>
      </c>
      <c r="E222" s="75" t="s">
        <v>408</v>
      </c>
      <c r="F222" s="75" t="s">
        <v>1872</v>
      </c>
      <c r="G222" s="75" t="s">
        <v>1847</v>
      </c>
      <c r="H222" s="76" t="s">
        <v>1618</v>
      </c>
      <c r="I222" s="76"/>
      <c r="J222" s="74"/>
    </row>
    <row r="223">
      <c r="A223" s="74"/>
      <c r="B223" s="71">
        <v>45737.0</v>
      </c>
      <c r="D223" s="75" t="s">
        <v>1873</v>
      </c>
      <c r="E223" s="75" t="s">
        <v>408</v>
      </c>
      <c r="F223" s="75" t="s">
        <v>1874</v>
      </c>
      <c r="G223" s="75" t="s">
        <v>1847</v>
      </c>
      <c r="H223" s="76" t="s">
        <v>1633</v>
      </c>
      <c r="I223" s="76"/>
      <c r="J223" s="74"/>
    </row>
    <row r="224">
      <c r="A224" s="74"/>
      <c r="B224" s="71">
        <v>45738.0</v>
      </c>
      <c r="D224" s="75" t="s">
        <v>1875</v>
      </c>
      <c r="E224" s="75" t="s">
        <v>1778</v>
      </c>
      <c r="F224" s="75" t="s">
        <v>1876</v>
      </c>
      <c r="G224" s="75" t="s">
        <v>1847</v>
      </c>
      <c r="H224" s="76" t="s">
        <v>1868</v>
      </c>
      <c r="I224" s="76"/>
      <c r="J224" s="74"/>
    </row>
    <row r="225">
      <c r="A225" s="74"/>
      <c r="B225" s="71">
        <v>45739.0</v>
      </c>
      <c r="D225" s="75" t="s">
        <v>1877</v>
      </c>
      <c r="E225" s="75" t="s">
        <v>1778</v>
      </c>
      <c r="F225" s="75" t="s">
        <v>815</v>
      </c>
      <c r="G225" s="75" t="s">
        <v>1847</v>
      </c>
      <c r="H225" s="76" t="s">
        <v>1836</v>
      </c>
      <c r="I225" s="76"/>
      <c r="J225" s="74"/>
    </row>
    <row r="226">
      <c r="A226" s="74"/>
      <c r="B226" s="71">
        <v>45740.0</v>
      </c>
      <c r="D226" s="75" t="s">
        <v>1878</v>
      </c>
      <c r="E226" s="75" t="s">
        <v>1879</v>
      </c>
      <c r="F226" s="75" t="s">
        <v>855</v>
      </c>
      <c r="G226" s="75" t="s">
        <v>1847</v>
      </c>
      <c r="H226" s="76" t="s">
        <v>1848</v>
      </c>
      <c r="I226" s="76"/>
      <c r="J226" s="74"/>
    </row>
    <row r="227">
      <c r="A227" s="74"/>
      <c r="B227" s="71">
        <v>45741.0</v>
      </c>
      <c r="D227" s="75" t="s">
        <v>1880</v>
      </c>
      <c r="E227" s="75" t="s">
        <v>1881</v>
      </c>
      <c r="F227" s="75" t="s">
        <v>1882</v>
      </c>
      <c r="G227" s="75" t="s">
        <v>1883</v>
      </c>
      <c r="H227" s="76" t="s">
        <v>1868</v>
      </c>
      <c r="I227" s="76"/>
      <c r="J227" s="74"/>
    </row>
    <row r="228">
      <c r="A228" s="74"/>
      <c r="B228" s="71">
        <v>45742.0</v>
      </c>
      <c r="D228" s="75" t="s">
        <v>662</v>
      </c>
      <c r="E228" s="75" t="s">
        <v>1884</v>
      </c>
      <c r="F228" s="75" t="s">
        <v>1663</v>
      </c>
      <c r="G228" s="75" t="s">
        <v>1883</v>
      </c>
      <c r="H228" s="76" t="s">
        <v>1612</v>
      </c>
      <c r="I228" s="76"/>
      <c r="J228" s="74"/>
    </row>
    <row r="229">
      <c r="A229" s="74"/>
      <c r="B229" s="71">
        <v>45743.0</v>
      </c>
      <c r="D229" s="75" t="s">
        <v>1885</v>
      </c>
      <c r="E229" s="75" t="s">
        <v>1886</v>
      </c>
      <c r="F229" s="75" t="s">
        <v>1887</v>
      </c>
      <c r="G229" s="75" t="s">
        <v>1883</v>
      </c>
      <c r="H229" s="76" t="s">
        <v>1622</v>
      </c>
      <c r="I229" s="76"/>
      <c r="J229" s="74"/>
    </row>
    <row r="230">
      <c r="A230" s="74"/>
      <c r="B230" s="71">
        <v>45744.0</v>
      </c>
      <c r="D230" s="75" t="s">
        <v>1888</v>
      </c>
      <c r="E230" s="75" t="s">
        <v>1889</v>
      </c>
      <c r="F230" s="75" t="s">
        <v>1170</v>
      </c>
      <c r="G230" s="75" t="s">
        <v>1883</v>
      </c>
      <c r="H230" s="76" t="s">
        <v>1572</v>
      </c>
      <c r="I230" s="76"/>
      <c r="J230" s="74"/>
    </row>
    <row r="231">
      <c r="A231" s="74"/>
      <c r="B231" s="71">
        <v>45745.0</v>
      </c>
      <c r="D231" s="75" t="s">
        <v>796</v>
      </c>
      <c r="E231" s="75" t="s">
        <v>1778</v>
      </c>
      <c r="F231" s="75" t="s">
        <v>1685</v>
      </c>
      <c r="G231" s="75" t="s">
        <v>1883</v>
      </c>
      <c r="H231" s="76" t="s">
        <v>1639</v>
      </c>
      <c r="I231" s="76"/>
      <c r="J231" s="74"/>
    </row>
    <row r="232">
      <c r="A232" s="74"/>
      <c r="B232" s="71">
        <v>45746.0</v>
      </c>
      <c r="D232" s="75" t="s">
        <v>1890</v>
      </c>
      <c r="E232" s="75" t="s">
        <v>1891</v>
      </c>
      <c r="F232" s="75" t="s">
        <v>1892</v>
      </c>
      <c r="G232" s="75" t="s">
        <v>1883</v>
      </c>
      <c r="H232" s="76" t="s">
        <v>1595</v>
      </c>
      <c r="I232" s="76"/>
      <c r="J232" s="74"/>
    </row>
    <row r="233">
      <c r="A233" s="74"/>
      <c r="B233" s="71">
        <v>45747.0</v>
      </c>
      <c r="D233" s="75" t="s">
        <v>1893</v>
      </c>
      <c r="E233" s="75" t="s">
        <v>1894</v>
      </c>
      <c r="F233" s="75" t="s">
        <v>1567</v>
      </c>
      <c r="G233" s="75" t="s">
        <v>1883</v>
      </c>
      <c r="H233" s="76" t="s">
        <v>1575</v>
      </c>
      <c r="I233" s="76"/>
      <c r="J233" s="74"/>
    </row>
    <row r="234">
      <c r="A234" s="74"/>
      <c r="B234" s="71">
        <v>45748.0</v>
      </c>
      <c r="D234" s="75" t="s">
        <v>1895</v>
      </c>
      <c r="E234" s="75" t="s">
        <v>889</v>
      </c>
      <c r="F234" s="75" t="s">
        <v>1896</v>
      </c>
      <c r="G234" s="75" t="s">
        <v>1794</v>
      </c>
      <c r="H234" s="75" t="s">
        <v>1618</v>
      </c>
      <c r="I234" s="75"/>
      <c r="J234" s="74"/>
    </row>
    <row r="235">
      <c r="A235" s="74"/>
      <c r="B235" s="71">
        <v>45749.0</v>
      </c>
      <c r="D235" s="75" t="s">
        <v>1897</v>
      </c>
      <c r="E235" s="75" t="s">
        <v>1898</v>
      </c>
      <c r="F235" s="75" t="s">
        <v>1648</v>
      </c>
      <c r="G235" s="75" t="s">
        <v>1794</v>
      </c>
      <c r="H235" s="75" t="s">
        <v>1851</v>
      </c>
      <c r="I235" s="75"/>
      <c r="J235" s="74"/>
    </row>
    <row r="236">
      <c r="A236" s="74"/>
      <c r="B236" s="71">
        <v>45750.0</v>
      </c>
      <c r="D236" s="75" t="s">
        <v>1899</v>
      </c>
      <c r="E236" s="75" t="s">
        <v>1900</v>
      </c>
      <c r="F236" s="75" t="s">
        <v>1901</v>
      </c>
      <c r="G236" s="75" t="s">
        <v>1794</v>
      </c>
      <c r="H236" s="75" t="s">
        <v>1604</v>
      </c>
      <c r="I236" s="75"/>
      <c r="J236" s="74"/>
    </row>
    <row r="237">
      <c r="A237" s="74"/>
      <c r="B237" s="71">
        <v>45751.0</v>
      </c>
      <c r="D237" s="75" t="s">
        <v>1902</v>
      </c>
      <c r="E237" s="75" t="s">
        <v>1903</v>
      </c>
      <c r="F237" s="75" t="s">
        <v>1904</v>
      </c>
      <c r="G237" s="75" t="s">
        <v>1794</v>
      </c>
      <c r="H237" s="75" t="s">
        <v>1592</v>
      </c>
      <c r="I237" s="75"/>
      <c r="J237" s="74"/>
    </row>
    <row r="238">
      <c r="A238" s="74"/>
      <c r="B238" s="71">
        <v>45752.0</v>
      </c>
      <c r="D238" s="75" t="s">
        <v>1763</v>
      </c>
      <c r="E238" s="75" t="s">
        <v>1778</v>
      </c>
      <c r="F238" s="75" t="s">
        <v>771</v>
      </c>
      <c r="G238" s="75" t="s">
        <v>1794</v>
      </c>
      <c r="H238" s="75" t="s">
        <v>1633</v>
      </c>
      <c r="I238" s="75"/>
      <c r="J238" s="74"/>
    </row>
    <row r="239">
      <c r="A239" s="74"/>
      <c r="B239" s="71">
        <v>45753.0</v>
      </c>
      <c r="D239" s="75" t="s">
        <v>396</v>
      </c>
      <c r="E239" s="75" t="s">
        <v>1778</v>
      </c>
      <c r="F239" s="75" t="s">
        <v>1905</v>
      </c>
      <c r="G239" s="75" t="s">
        <v>1794</v>
      </c>
      <c r="H239" s="75" t="s">
        <v>1868</v>
      </c>
      <c r="I239" s="75"/>
      <c r="J239" s="74"/>
    </row>
    <row r="240">
      <c r="A240" s="74"/>
      <c r="B240" s="71">
        <v>45754.0</v>
      </c>
      <c r="D240" s="75" t="s">
        <v>1019</v>
      </c>
      <c r="E240" s="75" t="s">
        <v>1778</v>
      </c>
      <c r="F240" s="75" t="s">
        <v>1828</v>
      </c>
      <c r="G240" s="75" t="s">
        <v>1794</v>
      </c>
      <c r="H240" s="75" t="s">
        <v>1615</v>
      </c>
      <c r="I240" s="75"/>
      <c r="J240" s="74"/>
    </row>
    <row r="241">
      <c r="A241" s="74"/>
      <c r="B241" s="71">
        <v>45755.0</v>
      </c>
      <c r="D241" s="75" t="s">
        <v>1906</v>
      </c>
      <c r="E241" s="75" t="s">
        <v>408</v>
      </c>
      <c r="F241" s="75" t="s">
        <v>1048</v>
      </c>
      <c r="G241" s="75" t="s">
        <v>1794</v>
      </c>
      <c r="H241" s="75" t="s">
        <v>1907</v>
      </c>
      <c r="I241" s="75"/>
      <c r="J241" s="74"/>
    </row>
    <row r="242">
      <c r="A242" s="74"/>
      <c r="B242" s="71">
        <v>45756.0</v>
      </c>
      <c r="D242" s="75" t="s">
        <v>1908</v>
      </c>
      <c r="E242" s="75" t="s">
        <v>408</v>
      </c>
      <c r="F242" s="75" t="s">
        <v>1909</v>
      </c>
      <c r="G242" s="75" t="s">
        <v>1794</v>
      </c>
      <c r="H242" s="75" t="s">
        <v>1618</v>
      </c>
      <c r="I242" s="75"/>
      <c r="J242" s="74"/>
    </row>
    <row r="243">
      <c r="A243" s="74"/>
      <c r="B243" s="71">
        <v>45757.0</v>
      </c>
      <c r="D243" s="75" t="s">
        <v>1840</v>
      </c>
      <c r="E243" s="75" t="s">
        <v>408</v>
      </c>
      <c r="F243" s="75" t="s">
        <v>1762</v>
      </c>
      <c r="G243" s="75" t="s">
        <v>1794</v>
      </c>
      <c r="H243" s="75" t="s">
        <v>1585</v>
      </c>
      <c r="I243" s="75"/>
      <c r="J243" s="74"/>
    </row>
    <row r="244">
      <c r="A244" s="74"/>
      <c r="B244" s="71">
        <v>45758.0</v>
      </c>
      <c r="D244" s="75" t="s">
        <v>1910</v>
      </c>
      <c r="E244" s="75" t="s">
        <v>1778</v>
      </c>
      <c r="F244" s="75" t="s">
        <v>1855</v>
      </c>
      <c r="G244" s="75" t="s">
        <v>1744</v>
      </c>
      <c r="H244" s="75" t="s">
        <v>1639</v>
      </c>
      <c r="I244" s="75"/>
      <c r="J244" s="74"/>
    </row>
    <row r="245">
      <c r="A245" s="74"/>
      <c r="B245" s="71">
        <v>45759.0</v>
      </c>
      <c r="D245" s="75" t="s">
        <v>1911</v>
      </c>
      <c r="E245" s="75" t="s">
        <v>1912</v>
      </c>
      <c r="F245" s="75" t="s">
        <v>548</v>
      </c>
      <c r="G245" s="75" t="s">
        <v>1744</v>
      </c>
      <c r="H245" s="75" t="s">
        <v>1595</v>
      </c>
      <c r="I245" s="75"/>
      <c r="J245" s="74"/>
    </row>
    <row r="246">
      <c r="A246" s="74"/>
      <c r="B246" s="71">
        <v>45760.0</v>
      </c>
      <c r="D246" s="75" t="s">
        <v>1913</v>
      </c>
      <c r="E246" s="75" t="s">
        <v>408</v>
      </c>
      <c r="F246" s="75" t="s">
        <v>973</v>
      </c>
      <c r="G246" s="75" t="s">
        <v>1744</v>
      </c>
      <c r="H246" s="75" t="s">
        <v>1848</v>
      </c>
      <c r="I246" s="75"/>
      <c r="J246" s="74"/>
    </row>
    <row r="247">
      <c r="A247" s="74"/>
      <c r="B247" s="71">
        <v>45761.0</v>
      </c>
      <c r="D247" s="75" t="s">
        <v>1914</v>
      </c>
      <c r="E247" s="75" t="s">
        <v>408</v>
      </c>
      <c r="F247" s="75" t="s">
        <v>1762</v>
      </c>
      <c r="G247" s="75" t="s">
        <v>1800</v>
      </c>
      <c r="H247" s="75" t="s">
        <v>1592</v>
      </c>
      <c r="I247" s="75"/>
      <c r="J247" s="74"/>
    </row>
    <row r="248">
      <c r="A248" s="74"/>
      <c r="B248" s="71">
        <v>45762.0</v>
      </c>
      <c r="D248" s="75" t="s">
        <v>1856</v>
      </c>
      <c r="E248" s="75" t="s">
        <v>408</v>
      </c>
      <c r="F248" s="75" t="s">
        <v>771</v>
      </c>
      <c r="G248" s="75" t="s">
        <v>1781</v>
      </c>
      <c r="H248" s="75" t="s">
        <v>1836</v>
      </c>
      <c r="I248" s="75"/>
      <c r="J248" s="74"/>
    </row>
    <row r="249">
      <c r="A249" s="74"/>
      <c r="B249" s="71">
        <v>45763.0</v>
      </c>
      <c r="D249" s="75" t="s">
        <v>1854</v>
      </c>
      <c r="E249" s="75" t="s">
        <v>408</v>
      </c>
      <c r="F249" s="75" t="s">
        <v>1915</v>
      </c>
      <c r="G249" s="75" t="s">
        <v>1781</v>
      </c>
      <c r="H249" s="75" t="s">
        <v>1596</v>
      </c>
      <c r="I249" s="75"/>
      <c r="J249" s="74"/>
    </row>
    <row r="250">
      <c r="A250" s="74"/>
      <c r="B250" s="71">
        <v>45764.0</v>
      </c>
      <c r="D250" s="75" t="s">
        <v>1916</v>
      </c>
      <c r="E250" s="75" t="s">
        <v>408</v>
      </c>
      <c r="F250" s="75" t="s">
        <v>408</v>
      </c>
      <c r="G250" s="75" t="s">
        <v>1781</v>
      </c>
      <c r="H250" s="75" t="s">
        <v>1868</v>
      </c>
      <c r="I250" s="75"/>
      <c r="J250" s="74"/>
    </row>
    <row r="251">
      <c r="A251" s="74"/>
      <c r="B251" s="71">
        <v>45765.0</v>
      </c>
      <c r="D251" s="75" t="s">
        <v>977</v>
      </c>
      <c r="E251" s="75" t="s">
        <v>408</v>
      </c>
      <c r="F251" s="75" t="s">
        <v>408</v>
      </c>
      <c r="G251" s="75" t="s">
        <v>1781</v>
      </c>
      <c r="H251" s="75" t="s">
        <v>1604</v>
      </c>
      <c r="I251" s="75"/>
      <c r="J251" s="74"/>
    </row>
    <row r="252">
      <c r="A252" s="74"/>
      <c r="B252" s="71">
        <v>45766.0</v>
      </c>
      <c r="D252" s="75" t="s">
        <v>1714</v>
      </c>
      <c r="E252" s="75" t="s">
        <v>408</v>
      </c>
      <c r="F252" s="75" t="s">
        <v>408</v>
      </c>
      <c r="G252" s="75" t="s">
        <v>1781</v>
      </c>
      <c r="H252" s="75" t="s">
        <v>1622</v>
      </c>
      <c r="I252" s="75"/>
      <c r="J252" s="74"/>
    </row>
    <row r="253">
      <c r="A253" s="74"/>
      <c r="B253" s="71">
        <v>45767.0</v>
      </c>
      <c r="D253" s="75" t="s">
        <v>1917</v>
      </c>
      <c r="E253" s="75" t="s">
        <v>408</v>
      </c>
      <c r="F253" s="75" t="s">
        <v>408</v>
      </c>
      <c r="G253" s="75" t="s">
        <v>1781</v>
      </c>
      <c r="H253" s="75" t="s">
        <v>1612</v>
      </c>
      <c r="I253" s="75"/>
      <c r="J253" s="74"/>
    </row>
    <row r="254">
      <c r="A254" s="74"/>
      <c r="B254" s="71">
        <v>45768.0</v>
      </c>
      <c r="D254" s="75" t="s">
        <v>408</v>
      </c>
      <c r="E254" s="75" t="s">
        <v>408</v>
      </c>
      <c r="F254" s="75" t="s">
        <v>1778</v>
      </c>
      <c r="G254" s="75" t="s">
        <v>1781</v>
      </c>
      <c r="H254" s="75" t="s">
        <v>1595</v>
      </c>
      <c r="I254" s="75"/>
      <c r="J254" s="74"/>
    </row>
    <row r="255">
      <c r="A255" s="74"/>
      <c r="B255" s="71">
        <v>45769.0</v>
      </c>
      <c r="D255" s="75" t="s">
        <v>796</v>
      </c>
      <c r="E255" s="75" t="s">
        <v>408</v>
      </c>
      <c r="F255" s="75" t="s">
        <v>408</v>
      </c>
      <c r="G255" s="75" t="s">
        <v>1883</v>
      </c>
      <c r="H255" s="75" t="s">
        <v>1633</v>
      </c>
      <c r="I255" s="75"/>
      <c r="J255" s="74"/>
    </row>
    <row r="256">
      <c r="A256" s="74"/>
      <c r="B256" s="71">
        <v>45770.0</v>
      </c>
      <c r="D256" s="75" t="s">
        <v>796</v>
      </c>
      <c r="E256" s="75" t="s">
        <v>1918</v>
      </c>
      <c r="F256" s="75" t="s">
        <v>1919</v>
      </c>
      <c r="G256" s="75" t="s">
        <v>1883</v>
      </c>
      <c r="H256" s="75" t="s">
        <v>1622</v>
      </c>
      <c r="I256" s="75"/>
      <c r="J256" s="74"/>
    </row>
    <row r="257">
      <c r="A257" s="74"/>
      <c r="B257" s="71">
        <v>45771.0</v>
      </c>
      <c r="D257" s="75" t="s">
        <v>796</v>
      </c>
      <c r="E257" s="75" t="s">
        <v>1920</v>
      </c>
      <c r="F257" s="75" t="s">
        <v>912</v>
      </c>
      <c r="G257" s="75" t="s">
        <v>1883</v>
      </c>
      <c r="H257" s="75" t="s">
        <v>1575</v>
      </c>
      <c r="I257" s="75"/>
      <c r="J257" s="74"/>
    </row>
    <row r="258">
      <c r="A258" s="74"/>
      <c r="B258" s="71">
        <v>45772.0</v>
      </c>
      <c r="D258" s="75" t="s">
        <v>796</v>
      </c>
      <c r="E258" s="75" t="s">
        <v>1921</v>
      </c>
      <c r="F258" s="75" t="s">
        <v>1922</v>
      </c>
      <c r="G258" s="75" t="s">
        <v>1883</v>
      </c>
      <c r="H258" s="75" t="s">
        <v>1907</v>
      </c>
      <c r="I258" s="75"/>
      <c r="J258" s="74"/>
    </row>
    <row r="259">
      <c r="A259" s="74"/>
      <c r="B259" s="71">
        <v>45773.0</v>
      </c>
      <c r="D259" s="75" t="s">
        <v>796</v>
      </c>
      <c r="E259" s="75" t="s">
        <v>408</v>
      </c>
      <c r="F259" s="75" t="s">
        <v>1778</v>
      </c>
      <c r="G259" s="75" t="s">
        <v>1883</v>
      </c>
      <c r="H259" s="75" t="s">
        <v>1600</v>
      </c>
      <c r="I259" s="75"/>
      <c r="J259" s="74"/>
    </row>
    <row r="260">
      <c r="A260" s="74"/>
      <c r="B260" s="71">
        <v>45774.0</v>
      </c>
      <c r="D260" s="75" t="s">
        <v>796</v>
      </c>
      <c r="E260" s="75" t="s">
        <v>408</v>
      </c>
      <c r="F260" s="75" t="s">
        <v>1923</v>
      </c>
      <c r="G260" s="75" t="s">
        <v>1883</v>
      </c>
      <c r="H260" s="75" t="s">
        <v>1585</v>
      </c>
      <c r="I260" s="75"/>
      <c r="J260" s="74"/>
    </row>
    <row r="261">
      <c r="A261" s="74"/>
      <c r="B261" s="71">
        <v>45775.0</v>
      </c>
      <c r="D261" s="75" t="s">
        <v>796</v>
      </c>
      <c r="E261" s="75" t="s">
        <v>408</v>
      </c>
      <c r="F261" s="75" t="s">
        <v>1846</v>
      </c>
      <c r="G261" s="75" t="s">
        <v>1883</v>
      </c>
      <c r="H261" s="75" t="s">
        <v>1592</v>
      </c>
      <c r="I261" s="75"/>
      <c r="J261" s="74"/>
    </row>
    <row r="262">
      <c r="A262" s="74"/>
      <c r="B262" s="71">
        <v>45776.0</v>
      </c>
      <c r="D262" s="75" t="s">
        <v>796</v>
      </c>
      <c r="E262" s="75" t="s">
        <v>408</v>
      </c>
      <c r="F262" s="75" t="s">
        <v>1924</v>
      </c>
      <c r="G262" s="75" t="s">
        <v>1643</v>
      </c>
      <c r="H262" s="75" t="s">
        <v>1851</v>
      </c>
      <c r="I262" s="75"/>
      <c r="J262" s="74"/>
    </row>
    <row r="263">
      <c r="A263" s="74"/>
      <c r="B263" s="71">
        <v>45777.0</v>
      </c>
      <c r="D263" s="75" t="s">
        <v>796</v>
      </c>
      <c r="E263" s="75" t="s">
        <v>1778</v>
      </c>
      <c r="F263" s="75" t="s">
        <v>1567</v>
      </c>
      <c r="G263" s="75" t="s">
        <v>1643</v>
      </c>
      <c r="H263" s="75" t="s">
        <v>1585</v>
      </c>
      <c r="I263" s="75"/>
      <c r="J263" s="74"/>
    </row>
    <row r="264">
      <c r="A264" s="74"/>
      <c r="B264" s="71">
        <v>45778.0</v>
      </c>
      <c r="D264" s="75" t="s">
        <v>1925</v>
      </c>
      <c r="E264" s="75" t="s">
        <v>1926</v>
      </c>
      <c r="F264" s="75" t="s">
        <v>1785</v>
      </c>
      <c r="G264" s="75" t="s">
        <v>1643</v>
      </c>
      <c r="H264" s="75" t="s">
        <v>1592</v>
      </c>
      <c r="I264" s="75"/>
      <c r="J264" s="74"/>
    </row>
    <row r="265">
      <c r="A265" s="74"/>
      <c r="B265" s="71">
        <v>45779.0</v>
      </c>
      <c r="D265" s="75" t="s">
        <v>1914</v>
      </c>
      <c r="E265" s="75" t="s">
        <v>408</v>
      </c>
      <c r="F265" s="75" t="s">
        <v>1927</v>
      </c>
      <c r="G265" s="75" t="s">
        <v>1643</v>
      </c>
      <c r="H265" s="75" t="s">
        <v>1615</v>
      </c>
      <c r="I265" s="75"/>
      <c r="J265" s="74"/>
    </row>
    <row r="266">
      <c r="A266" s="74"/>
      <c r="B266" s="71">
        <v>45780.0</v>
      </c>
      <c r="D266" s="75" t="s">
        <v>1928</v>
      </c>
      <c r="E266" s="75" t="s">
        <v>408</v>
      </c>
      <c r="F266" s="75" t="s">
        <v>1929</v>
      </c>
      <c r="G266" s="75" t="s">
        <v>1643</v>
      </c>
      <c r="H266" s="75" t="s">
        <v>1639</v>
      </c>
      <c r="I266" s="75"/>
      <c r="J266" s="74"/>
    </row>
    <row r="267">
      <c r="A267" s="74"/>
      <c r="B267" s="71">
        <v>45781.0</v>
      </c>
      <c r="D267" s="75" t="s">
        <v>1763</v>
      </c>
      <c r="E267" s="75" t="s">
        <v>1778</v>
      </c>
      <c r="F267" s="75" t="s">
        <v>1930</v>
      </c>
      <c r="G267" s="75" t="s">
        <v>1643</v>
      </c>
      <c r="H267" s="75" t="s">
        <v>1604</v>
      </c>
      <c r="I267" s="75"/>
      <c r="J267" s="74"/>
    </row>
    <row r="268">
      <c r="A268" s="74"/>
      <c r="B268" s="71">
        <v>45782.0</v>
      </c>
      <c r="D268" s="75" t="s">
        <v>1778</v>
      </c>
      <c r="E268" s="75" t="s">
        <v>408</v>
      </c>
      <c r="F268" s="75" t="s">
        <v>1931</v>
      </c>
      <c r="G268" s="75" t="s">
        <v>1643</v>
      </c>
      <c r="H268" s="75" t="s">
        <v>1868</v>
      </c>
      <c r="I268" s="75"/>
      <c r="J268" s="74"/>
    </row>
    <row r="269">
      <c r="A269" s="74"/>
      <c r="B269" s="71">
        <v>45783.0</v>
      </c>
      <c r="D269" s="75" t="s">
        <v>925</v>
      </c>
      <c r="E269" s="75" t="s">
        <v>408</v>
      </c>
      <c r="F269" s="75" t="s">
        <v>537</v>
      </c>
      <c r="G269" s="75" t="s">
        <v>1655</v>
      </c>
      <c r="H269" s="75" t="s">
        <v>1600</v>
      </c>
      <c r="I269" s="75"/>
      <c r="J269" s="74"/>
    </row>
    <row r="270">
      <c r="A270" s="74"/>
      <c r="B270" s="71">
        <v>45784.0</v>
      </c>
      <c r="D270" s="75" t="s">
        <v>1932</v>
      </c>
      <c r="E270" s="75" t="s">
        <v>408</v>
      </c>
      <c r="F270" s="75" t="s">
        <v>973</v>
      </c>
      <c r="G270" s="75" t="s">
        <v>1655</v>
      </c>
      <c r="H270" s="75" t="s">
        <v>1604</v>
      </c>
      <c r="I270" s="75"/>
      <c r="J270" s="74"/>
    </row>
    <row r="271">
      <c r="A271" s="74"/>
      <c r="B271" s="71">
        <v>45785.0</v>
      </c>
      <c r="D271" s="75" t="s">
        <v>1933</v>
      </c>
      <c r="E271" s="75" t="s">
        <v>408</v>
      </c>
      <c r="F271" s="75" t="s">
        <v>639</v>
      </c>
      <c r="G271" s="75" t="s">
        <v>1655</v>
      </c>
      <c r="H271" s="75" t="s">
        <v>1633</v>
      </c>
      <c r="I271" s="75"/>
      <c r="J271" s="74"/>
    </row>
    <row r="272">
      <c r="A272" s="74"/>
      <c r="B272" s="71">
        <v>45786.0</v>
      </c>
      <c r="D272" s="75" t="s">
        <v>1895</v>
      </c>
      <c r="E272" s="75" t="s">
        <v>408</v>
      </c>
      <c r="F272" s="75" t="s">
        <v>1778</v>
      </c>
      <c r="G272" s="75" t="s">
        <v>1847</v>
      </c>
      <c r="H272" s="75" t="s">
        <v>1639</v>
      </c>
      <c r="I272" s="75"/>
      <c r="J272" s="74"/>
    </row>
    <row r="273">
      <c r="A273" s="74"/>
      <c r="B273" s="71">
        <v>45787.0</v>
      </c>
      <c r="D273" s="75" t="s">
        <v>1778</v>
      </c>
      <c r="E273" s="75" t="s">
        <v>408</v>
      </c>
      <c r="F273" s="75" t="s">
        <v>1778</v>
      </c>
      <c r="G273" s="75" t="s">
        <v>1847</v>
      </c>
      <c r="H273" s="75" t="s">
        <v>1600</v>
      </c>
      <c r="I273" s="75"/>
      <c r="J273" s="74"/>
    </row>
    <row r="274">
      <c r="A274" s="74"/>
      <c r="B274" s="71">
        <v>45788.0</v>
      </c>
      <c r="D274" s="75" t="s">
        <v>1934</v>
      </c>
      <c r="E274" s="75" t="s">
        <v>408</v>
      </c>
      <c r="F274" s="75" t="s">
        <v>1853</v>
      </c>
      <c r="G274" s="75" t="s">
        <v>1847</v>
      </c>
      <c r="H274" s="75" t="s">
        <v>1615</v>
      </c>
      <c r="I274" s="75"/>
      <c r="J274" s="74"/>
    </row>
    <row r="275">
      <c r="A275" s="74"/>
      <c r="B275" s="71">
        <v>45789.0</v>
      </c>
      <c r="D275" s="75" t="s">
        <v>1778</v>
      </c>
      <c r="E275" s="75" t="s">
        <v>408</v>
      </c>
      <c r="F275" s="75" t="s">
        <v>1733</v>
      </c>
      <c r="G275" s="75" t="s">
        <v>1808</v>
      </c>
      <c r="H275" s="75" t="s">
        <v>1604</v>
      </c>
      <c r="I275" s="75"/>
      <c r="J275" s="74"/>
    </row>
    <row r="276">
      <c r="A276" s="74"/>
      <c r="B276" s="71">
        <v>45790.0</v>
      </c>
      <c r="D276" s="75" t="s">
        <v>1935</v>
      </c>
      <c r="E276" s="75" t="s">
        <v>408</v>
      </c>
      <c r="F276" s="75" t="s">
        <v>1936</v>
      </c>
      <c r="G276" s="75" t="s">
        <v>1808</v>
      </c>
      <c r="H276" s="75" t="s">
        <v>1836</v>
      </c>
      <c r="I276" s="75"/>
      <c r="J276" s="74"/>
    </row>
    <row r="277">
      <c r="A277" s="74"/>
      <c r="B277" s="71">
        <v>45791.0</v>
      </c>
      <c r="D277" s="75" t="s">
        <v>1778</v>
      </c>
      <c r="E277" s="75" t="s">
        <v>408</v>
      </c>
      <c r="F277" s="75" t="s">
        <v>1835</v>
      </c>
      <c r="G277" s="75" t="s">
        <v>1744</v>
      </c>
      <c r="H277" s="75" t="s">
        <v>1615</v>
      </c>
      <c r="I277" s="75"/>
      <c r="J277" s="74"/>
    </row>
    <row r="278">
      <c r="A278" s="74"/>
      <c r="B278" s="71">
        <v>45792.0</v>
      </c>
      <c r="D278" s="75" t="s">
        <v>1778</v>
      </c>
      <c r="E278" s="75" t="s">
        <v>408</v>
      </c>
      <c r="F278" s="75" t="s">
        <v>408</v>
      </c>
      <c r="G278" s="75" t="s">
        <v>1808</v>
      </c>
      <c r="H278" s="75" t="s">
        <v>1595</v>
      </c>
      <c r="I278" s="75"/>
      <c r="J278" s="74"/>
    </row>
    <row r="279">
      <c r="A279" s="74"/>
      <c r="B279" s="71">
        <v>45793.0</v>
      </c>
      <c r="D279" s="75" t="s">
        <v>1778</v>
      </c>
      <c r="E279" s="75" t="s">
        <v>408</v>
      </c>
      <c r="F279" s="75" t="s">
        <v>408</v>
      </c>
      <c r="G279" s="75" t="s">
        <v>1808</v>
      </c>
      <c r="H279" s="75" t="s">
        <v>1868</v>
      </c>
      <c r="I279" s="75"/>
      <c r="J279" s="74"/>
    </row>
    <row r="280">
      <c r="A280" s="74"/>
      <c r="B280" s="71">
        <v>45794.0</v>
      </c>
      <c r="D280" s="75" t="s">
        <v>431</v>
      </c>
      <c r="E280" s="75" t="s">
        <v>408</v>
      </c>
      <c r="F280" s="75" t="s">
        <v>408</v>
      </c>
      <c r="G280" s="75" t="s">
        <v>1808</v>
      </c>
      <c r="H280" s="75" t="s">
        <v>1851</v>
      </c>
      <c r="I280" s="75"/>
      <c r="J280" s="74"/>
    </row>
    <row r="281">
      <c r="A281" s="74"/>
      <c r="B281" s="71">
        <v>45795.0</v>
      </c>
      <c r="D281" s="75" t="s">
        <v>1675</v>
      </c>
      <c r="E281" s="75" t="s">
        <v>408</v>
      </c>
      <c r="F281" s="75" t="s">
        <v>408</v>
      </c>
      <c r="G281" s="75" t="s">
        <v>1808</v>
      </c>
      <c r="H281" s="75" t="s">
        <v>1836</v>
      </c>
      <c r="I281" s="75"/>
      <c r="J281" s="74"/>
    </row>
    <row r="282">
      <c r="A282" s="74"/>
      <c r="B282" s="71">
        <v>45796.0</v>
      </c>
      <c r="D282" s="75" t="s">
        <v>1937</v>
      </c>
      <c r="E282" s="75" t="s">
        <v>408</v>
      </c>
      <c r="F282" s="75" t="s">
        <v>408</v>
      </c>
      <c r="G282" s="75" t="s">
        <v>1808</v>
      </c>
      <c r="H282" s="75" t="s">
        <v>1612</v>
      </c>
      <c r="I282" s="75"/>
      <c r="J282" s="74"/>
    </row>
    <row r="283">
      <c r="A283" s="74"/>
      <c r="B283" s="71">
        <v>45797.0</v>
      </c>
      <c r="D283" s="75" t="s">
        <v>1778</v>
      </c>
      <c r="E283" s="75" t="s">
        <v>408</v>
      </c>
      <c r="F283" s="75" t="s">
        <v>1617</v>
      </c>
      <c r="G283" s="75" t="s">
        <v>1669</v>
      </c>
      <c r="H283" s="75" t="s">
        <v>1622</v>
      </c>
      <c r="I283" s="75"/>
      <c r="J283" s="74"/>
    </row>
    <row r="284">
      <c r="A284" s="74"/>
      <c r="B284" s="71">
        <v>45798.0</v>
      </c>
      <c r="D284" s="75" t="s">
        <v>1778</v>
      </c>
      <c r="E284" s="75" t="s">
        <v>1938</v>
      </c>
      <c r="F284" s="75" t="s">
        <v>817</v>
      </c>
      <c r="G284" s="75" t="s">
        <v>1594</v>
      </c>
      <c r="H284" s="75" t="s">
        <v>1848</v>
      </c>
      <c r="I284" s="75"/>
      <c r="J284" s="74"/>
    </row>
    <row r="285">
      <c r="A285" s="74"/>
      <c r="B285" s="71">
        <v>45799.0</v>
      </c>
      <c r="D285" s="75" t="s">
        <v>1939</v>
      </c>
      <c r="E285" s="75" t="s">
        <v>1938</v>
      </c>
      <c r="F285" s="75" t="s">
        <v>1778</v>
      </c>
      <c r="G285" s="75" t="s">
        <v>1594</v>
      </c>
      <c r="H285" s="75" t="s">
        <v>1575</v>
      </c>
      <c r="I285" s="75"/>
      <c r="J285" s="74"/>
    </row>
    <row r="286">
      <c r="A286" s="74"/>
      <c r="B286" s="71">
        <v>45800.0</v>
      </c>
      <c r="D286" s="75" t="s">
        <v>1913</v>
      </c>
      <c r="E286" s="75" t="s">
        <v>1778</v>
      </c>
      <c r="F286" s="75" t="s">
        <v>1940</v>
      </c>
      <c r="G286" s="75" t="s">
        <v>1594</v>
      </c>
      <c r="H286" s="75" t="s">
        <v>1612</v>
      </c>
      <c r="I286" s="75"/>
      <c r="J286" s="74"/>
    </row>
    <row r="287">
      <c r="A287" s="74"/>
      <c r="B287" s="71">
        <v>45801.0</v>
      </c>
      <c r="D287" s="75" t="s">
        <v>1941</v>
      </c>
      <c r="E287" s="75" t="s">
        <v>959</v>
      </c>
      <c r="F287" s="75" t="s">
        <v>815</v>
      </c>
      <c r="G287" s="75" t="s">
        <v>1594</v>
      </c>
      <c r="H287" s="75" t="s">
        <v>1907</v>
      </c>
      <c r="I287" s="75"/>
      <c r="J287" s="74"/>
    </row>
    <row r="288">
      <c r="A288" s="74"/>
      <c r="B288" s="71">
        <v>45802.0</v>
      </c>
      <c r="D288" s="75" t="s">
        <v>1942</v>
      </c>
      <c r="E288" s="75" t="s">
        <v>1778</v>
      </c>
      <c r="F288" s="75" t="s">
        <v>1943</v>
      </c>
      <c r="G288" s="75" t="s">
        <v>1594</v>
      </c>
      <c r="H288" s="75" t="s">
        <v>1633</v>
      </c>
      <c r="I288" s="75"/>
      <c r="J288" s="74"/>
    </row>
    <row r="289">
      <c r="A289" s="74"/>
      <c r="B289" s="71">
        <v>45803.0</v>
      </c>
      <c r="D289" s="75" t="s">
        <v>1944</v>
      </c>
      <c r="E289" s="75" t="s">
        <v>1945</v>
      </c>
      <c r="F289" s="75" t="s">
        <v>1778</v>
      </c>
      <c r="G289" s="75" t="s">
        <v>1594</v>
      </c>
      <c r="H289" s="75" t="s">
        <v>1595</v>
      </c>
      <c r="I289" s="75"/>
      <c r="J289" s="74"/>
    </row>
    <row r="290">
      <c r="A290" s="74"/>
      <c r="B290" s="71">
        <v>45804.0</v>
      </c>
      <c r="D290" s="75" t="s">
        <v>408</v>
      </c>
      <c r="E290" s="75" t="s">
        <v>1946</v>
      </c>
      <c r="F290" s="75" t="s">
        <v>1947</v>
      </c>
      <c r="G290" s="75" t="s">
        <v>1594</v>
      </c>
      <c r="H290" s="75" t="s">
        <v>1639</v>
      </c>
      <c r="I290" s="75"/>
      <c r="J290" s="74"/>
    </row>
    <row r="291">
      <c r="A291" s="74"/>
      <c r="B291" s="71">
        <v>45805.0</v>
      </c>
      <c r="D291" s="75" t="s">
        <v>408</v>
      </c>
      <c r="E291" s="75" t="s">
        <v>408</v>
      </c>
      <c r="F291" s="75" t="s">
        <v>1948</v>
      </c>
      <c r="G291" s="75" t="s">
        <v>1669</v>
      </c>
      <c r="H291" s="75" t="s">
        <v>1615</v>
      </c>
      <c r="I291" s="75"/>
      <c r="J291" s="74"/>
    </row>
    <row r="292">
      <c r="A292" s="74"/>
      <c r="B292" s="71">
        <v>45806.0</v>
      </c>
      <c r="D292" s="75" t="s">
        <v>408</v>
      </c>
      <c r="E292" s="75" t="s">
        <v>408</v>
      </c>
      <c r="F292" s="75" t="s">
        <v>1949</v>
      </c>
      <c r="G292" s="75" t="s">
        <v>1669</v>
      </c>
      <c r="H292" s="75" t="s">
        <v>1585</v>
      </c>
      <c r="I292" s="75"/>
      <c r="J292" s="74"/>
    </row>
    <row r="293">
      <c r="A293" s="74"/>
      <c r="B293" s="71">
        <v>45807.0</v>
      </c>
      <c r="D293" s="75" t="s">
        <v>408</v>
      </c>
      <c r="E293" s="75" t="s">
        <v>408</v>
      </c>
      <c r="F293" s="75" t="s">
        <v>1950</v>
      </c>
      <c r="G293" s="75" t="s">
        <v>1669</v>
      </c>
      <c r="H293" s="75" t="s">
        <v>1907</v>
      </c>
      <c r="I293" s="75"/>
      <c r="J293" s="74"/>
    </row>
    <row r="294">
      <c r="A294" s="74"/>
      <c r="B294" s="71">
        <v>45808.0</v>
      </c>
      <c r="D294" s="75" t="s">
        <v>408</v>
      </c>
      <c r="E294" s="75" t="s">
        <v>408</v>
      </c>
      <c r="F294" s="75" t="s">
        <v>1951</v>
      </c>
      <c r="G294" s="75" t="s">
        <v>1669</v>
      </c>
      <c r="H294" s="75" t="s">
        <v>1657</v>
      </c>
      <c r="I294" s="75"/>
      <c r="J294" s="74"/>
    </row>
    <row r="295">
      <c r="A295" s="74"/>
      <c r="B295" s="71">
        <v>45809.0</v>
      </c>
      <c r="D295" s="75" t="s">
        <v>408</v>
      </c>
      <c r="E295" s="75" t="s">
        <v>408</v>
      </c>
      <c r="F295" s="75" t="s">
        <v>1952</v>
      </c>
      <c r="G295" s="75" t="s">
        <v>1669</v>
      </c>
      <c r="H295" s="75" t="s">
        <v>1585</v>
      </c>
      <c r="I295" s="75"/>
      <c r="J295" s="74"/>
    </row>
    <row r="296">
      <c r="A296" s="74"/>
      <c r="B296" s="71">
        <v>45810.0</v>
      </c>
      <c r="D296" s="75" t="s">
        <v>408</v>
      </c>
      <c r="E296" s="75" t="s">
        <v>408</v>
      </c>
      <c r="F296" s="75" t="s">
        <v>1953</v>
      </c>
      <c r="G296" s="75" t="s">
        <v>1669</v>
      </c>
      <c r="H296" s="75" t="s">
        <v>1615</v>
      </c>
      <c r="I296" s="75"/>
      <c r="J296" s="74"/>
    </row>
    <row r="297">
      <c r="A297" s="74"/>
      <c r="B297" s="71">
        <v>45811.0</v>
      </c>
      <c r="D297" s="75" t="s">
        <v>408</v>
      </c>
      <c r="E297" s="75" t="s">
        <v>408</v>
      </c>
      <c r="F297" s="75" t="s">
        <v>1954</v>
      </c>
      <c r="G297" s="75" t="s">
        <v>1656</v>
      </c>
      <c r="H297" s="75" t="s">
        <v>1618</v>
      </c>
      <c r="I297" s="75"/>
      <c r="J297" s="74"/>
    </row>
    <row r="298">
      <c r="A298" s="74"/>
      <c r="B298" s="71">
        <v>45812.0</v>
      </c>
      <c r="D298" s="75" t="s">
        <v>1955</v>
      </c>
      <c r="E298" s="75" t="s">
        <v>408</v>
      </c>
      <c r="F298" s="75" t="s">
        <v>1048</v>
      </c>
      <c r="G298" s="75" t="s">
        <v>1656</v>
      </c>
      <c r="H298" s="75" t="s">
        <v>1575</v>
      </c>
      <c r="I298" s="75"/>
      <c r="J298" s="74"/>
    </row>
    <row r="299">
      <c r="A299" s="74"/>
      <c r="B299" s="71">
        <v>45813.0</v>
      </c>
      <c r="D299" s="75" t="s">
        <v>408</v>
      </c>
      <c r="E299" s="75" t="s">
        <v>408</v>
      </c>
      <c r="F299" s="75" t="s">
        <v>1956</v>
      </c>
      <c r="G299" s="75" t="s">
        <v>1656</v>
      </c>
      <c r="H299" s="75" t="s">
        <v>1615</v>
      </c>
      <c r="I299" s="75"/>
      <c r="J299" s="74"/>
    </row>
    <row r="300">
      <c r="A300" s="74"/>
      <c r="B300" s="71">
        <v>45814.0</v>
      </c>
      <c r="D300" s="75" t="s">
        <v>408</v>
      </c>
      <c r="E300" s="75" t="s">
        <v>1053</v>
      </c>
      <c r="F300" s="75" t="s">
        <v>1957</v>
      </c>
      <c r="G300" s="75" t="s">
        <v>1656</v>
      </c>
      <c r="H300" s="75" t="s">
        <v>1836</v>
      </c>
      <c r="I300" s="75"/>
      <c r="J300" s="74"/>
    </row>
    <row r="301">
      <c r="A301" s="74"/>
      <c r="B301" s="71">
        <v>45815.0</v>
      </c>
      <c r="D301" s="75" t="s">
        <v>1958</v>
      </c>
      <c r="E301" s="75" t="s">
        <v>1959</v>
      </c>
      <c r="F301" s="75" t="s">
        <v>1956</v>
      </c>
      <c r="G301" s="75" t="s">
        <v>1656</v>
      </c>
      <c r="H301" s="75" t="s">
        <v>1730</v>
      </c>
      <c r="I301" s="75"/>
      <c r="J301" s="74"/>
    </row>
    <row r="302">
      <c r="A302" s="74"/>
      <c r="B302" s="71">
        <v>45816.0</v>
      </c>
      <c r="D302" s="75" t="s">
        <v>1960</v>
      </c>
      <c r="E302" s="75" t="s">
        <v>1961</v>
      </c>
      <c r="F302" s="75" t="s">
        <v>1778</v>
      </c>
      <c r="G302" s="75" t="s">
        <v>1656</v>
      </c>
      <c r="H302" s="75" t="s">
        <v>1612</v>
      </c>
      <c r="I302" s="75"/>
      <c r="J302" s="74"/>
    </row>
    <row r="303">
      <c r="A303" s="74"/>
      <c r="B303" s="71">
        <v>45817.0</v>
      </c>
      <c r="D303" s="75" t="s">
        <v>1958</v>
      </c>
      <c r="E303" s="75" t="s">
        <v>1961</v>
      </c>
      <c r="F303" s="75" t="s">
        <v>1778</v>
      </c>
      <c r="G303" s="75" t="s">
        <v>1656</v>
      </c>
      <c r="H303" s="75" t="s">
        <v>1868</v>
      </c>
      <c r="I303" s="75"/>
      <c r="J303" s="74"/>
    </row>
    <row r="304">
      <c r="A304" s="74"/>
      <c r="B304" s="71">
        <v>45818.0</v>
      </c>
      <c r="D304" s="75" t="s">
        <v>1778</v>
      </c>
      <c r="E304" s="75" t="s">
        <v>1961</v>
      </c>
      <c r="F304" s="75" t="s">
        <v>1962</v>
      </c>
      <c r="G304" s="75" t="s">
        <v>1787</v>
      </c>
      <c r="H304" s="75" t="s">
        <v>1730</v>
      </c>
      <c r="I304" s="75"/>
      <c r="J304" s="74"/>
    </row>
    <row r="305">
      <c r="A305" s="74"/>
      <c r="B305" s="71">
        <v>45819.0</v>
      </c>
      <c r="D305" s="75" t="s">
        <v>1963</v>
      </c>
      <c r="E305" s="75" t="s">
        <v>1964</v>
      </c>
      <c r="F305" s="75" t="s">
        <v>1965</v>
      </c>
      <c r="G305" s="75" t="s">
        <v>1787</v>
      </c>
      <c r="H305" s="75" t="s">
        <v>1836</v>
      </c>
      <c r="I305" s="75"/>
      <c r="J305" s="74"/>
    </row>
    <row r="306">
      <c r="A306" s="74"/>
      <c r="B306" s="71">
        <v>45820.0</v>
      </c>
      <c r="D306" s="75" t="s">
        <v>1778</v>
      </c>
      <c r="E306" s="75" t="s">
        <v>1966</v>
      </c>
      <c r="F306" s="75" t="s">
        <v>1778</v>
      </c>
      <c r="G306" s="75" t="s">
        <v>1787</v>
      </c>
      <c r="H306" s="75" t="s">
        <v>1595</v>
      </c>
      <c r="I306" s="75"/>
      <c r="J306" s="74"/>
    </row>
    <row r="307">
      <c r="A307" s="74"/>
      <c r="B307" s="71">
        <v>45821.0</v>
      </c>
      <c r="D307" s="75" t="s">
        <v>1778</v>
      </c>
      <c r="E307" s="75" t="s">
        <v>1967</v>
      </c>
      <c r="F307" s="75" t="s">
        <v>1954</v>
      </c>
      <c r="G307" s="75" t="s">
        <v>1787</v>
      </c>
      <c r="H307" s="75" t="s">
        <v>1848</v>
      </c>
      <c r="I307" s="75"/>
      <c r="J307" s="74"/>
    </row>
    <row r="308">
      <c r="A308" s="74"/>
      <c r="B308" s="71">
        <v>45822.0</v>
      </c>
      <c r="D308" s="75" t="s">
        <v>985</v>
      </c>
      <c r="E308" s="75" t="s">
        <v>1968</v>
      </c>
      <c r="F308" s="75" t="s">
        <v>408</v>
      </c>
      <c r="G308" s="75" t="s">
        <v>1787</v>
      </c>
      <c r="H308" s="75" t="s">
        <v>1622</v>
      </c>
      <c r="I308" s="75"/>
      <c r="J308" s="74"/>
    </row>
    <row r="309">
      <c r="A309" s="74"/>
      <c r="B309" s="71">
        <v>45823.0</v>
      </c>
      <c r="D309" s="75" t="s">
        <v>1778</v>
      </c>
      <c r="E309" s="75" t="s">
        <v>1969</v>
      </c>
      <c r="F309" s="75" t="s">
        <v>408</v>
      </c>
      <c r="G309" s="75" t="s">
        <v>1787</v>
      </c>
      <c r="H309" s="75" t="s">
        <v>1595</v>
      </c>
      <c r="I309" s="75"/>
      <c r="J309" s="74"/>
    </row>
    <row r="310">
      <c r="A310" s="74"/>
      <c r="B310" s="71">
        <v>45824.0</v>
      </c>
      <c r="D310" s="75" t="s">
        <v>1970</v>
      </c>
      <c r="E310" s="75" t="s">
        <v>1971</v>
      </c>
      <c r="F310" s="75" t="s">
        <v>408</v>
      </c>
      <c r="G310" s="75" t="s">
        <v>1787</v>
      </c>
      <c r="H310" s="75" t="s">
        <v>1657</v>
      </c>
      <c r="I310" s="75"/>
      <c r="J310" s="74"/>
    </row>
    <row r="311">
      <c r="A311" s="74"/>
      <c r="B311" s="71">
        <v>45825.0</v>
      </c>
      <c r="D311" s="75" t="s">
        <v>1972</v>
      </c>
      <c r="E311" s="75" t="s">
        <v>1973</v>
      </c>
      <c r="F311" s="75" t="s">
        <v>408</v>
      </c>
      <c r="G311" s="75" t="s">
        <v>1787</v>
      </c>
      <c r="H311" s="75" t="s">
        <v>1851</v>
      </c>
      <c r="I311" s="75"/>
      <c r="J311" s="74"/>
    </row>
    <row r="312">
      <c r="A312" s="74"/>
      <c r="B312" s="71">
        <v>45826.0</v>
      </c>
      <c r="D312" s="75" t="s">
        <v>1778</v>
      </c>
      <c r="E312" s="75" t="s">
        <v>1778</v>
      </c>
      <c r="F312" s="75" t="s">
        <v>1974</v>
      </c>
      <c r="G312" s="75" t="s">
        <v>1847</v>
      </c>
      <c r="H312" s="75" t="s">
        <v>1595</v>
      </c>
      <c r="I312" s="75"/>
      <c r="J312" s="74"/>
    </row>
    <row r="313">
      <c r="A313" s="74"/>
      <c r="B313" s="71">
        <v>45827.0</v>
      </c>
      <c r="D313" s="75" t="s">
        <v>1975</v>
      </c>
      <c r="E313" s="75" t="s">
        <v>408</v>
      </c>
      <c r="F313" s="75" t="s">
        <v>1976</v>
      </c>
      <c r="G313" s="75" t="s">
        <v>1847</v>
      </c>
      <c r="H313" s="75" t="s">
        <v>1848</v>
      </c>
      <c r="I313" s="75"/>
      <c r="J313" s="74"/>
    </row>
    <row r="314">
      <c r="A314" s="74"/>
      <c r="B314" s="71">
        <v>45828.0</v>
      </c>
      <c r="D314" s="75" t="s">
        <v>1958</v>
      </c>
      <c r="E314" s="75" t="s">
        <v>408</v>
      </c>
      <c r="F314" s="75" t="s">
        <v>1977</v>
      </c>
      <c r="G314" s="75" t="s">
        <v>1847</v>
      </c>
      <c r="H314" s="75" t="s">
        <v>1600</v>
      </c>
      <c r="I314" s="75"/>
      <c r="J314" s="74"/>
    </row>
    <row r="315">
      <c r="A315" s="74"/>
      <c r="B315" s="71">
        <v>45829.0</v>
      </c>
      <c r="D315" s="75" t="s">
        <v>1978</v>
      </c>
      <c r="E315" s="75" t="s">
        <v>1778</v>
      </c>
      <c r="F315" s="75" t="s">
        <v>1012</v>
      </c>
      <c r="G315" s="75" t="s">
        <v>1847</v>
      </c>
      <c r="H315" s="75" t="s">
        <v>1575</v>
      </c>
      <c r="I315" s="75"/>
      <c r="J315" s="74"/>
    </row>
    <row r="316">
      <c r="A316" s="74"/>
      <c r="B316" s="71">
        <v>45830.0</v>
      </c>
      <c r="D316" s="75" t="s">
        <v>1979</v>
      </c>
      <c r="E316" s="75" t="s">
        <v>1980</v>
      </c>
      <c r="F316" s="75" t="s">
        <v>1981</v>
      </c>
      <c r="G316" s="75" t="s">
        <v>1847</v>
      </c>
      <c r="H316" s="75" t="s">
        <v>1639</v>
      </c>
      <c r="I316" s="75"/>
      <c r="J316" s="74"/>
    </row>
    <row r="317">
      <c r="A317" s="74"/>
      <c r="B317" s="71">
        <v>45831.0</v>
      </c>
      <c r="D317" s="75" t="s">
        <v>1982</v>
      </c>
      <c r="E317" s="75" t="s">
        <v>1983</v>
      </c>
      <c r="F317" s="75" t="s">
        <v>1984</v>
      </c>
      <c r="G317" s="75" t="s">
        <v>1847</v>
      </c>
      <c r="H317" s="75" t="s">
        <v>1596</v>
      </c>
      <c r="I317" s="75"/>
      <c r="J317" s="74"/>
    </row>
    <row r="318">
      <c r="A318" s="74"/>
      <c r="B318" s="71">
        <v>45832.0</v>
      </c>
      <c r="D318" s="75" t="s">
        <v>1928</v>
      </c>
      <c r="E318" s="75" t="s">
        <v>1985</v>
      </c>
      <c r="F318" s="75" t="s">
        <v>1818</v>
      </c>
      <c r="G318" s="75" t="s">
        <v>1847</v>
      </c>
      <c r="H318" s="75" t="s">
        <v>1730</v>
      </c>
      <c r="I318" s="75"/>
      <c r="J318" s="74"/>
    </row>
    <row r="319">
      <c r="A319" s="74"/>
      <c r="B319" s="71">
        <v>45833.0</v>
      </c>
      <c r="D319" s="75" t="s">
        <v>1986</v>
      </c>
      <c r="E319" s="75" t="s">
        <v>1987</v>
      </c>
      <c r="F319" s="75" t="s">
        <v>980</v>
      </c>
      <c r="G319" s="75" t="s">
        <v>1781</v>
      </c>
      <c r="H319" s="75" t="s">
        <v>1595</v>
      </c>
      <c r="I319" s="75"/>
      <c r="J319" s="74"/>
    </row>
    <row r="320">
      <c r="A320" s="74"/>
      <c r="B320" s="71">
        <v>45834.0</v>
      </c>
      <c r="D320" s="75" t="s">
        <v>1988</v>
      </c>
      <c r="E320" s="75" t="s">
        <v>1778</v>
      </c>
      <c r="F320" s="75" t="s">
        <v>1989</v>
      </c>
      <c r="G320" s="75" t="s">
        <v>1781</v>
      </c>
      <c r="H320" s="75" t="s">
        <v>1730</v>
      </c>
      <c r="I320" s="75"/>
      <c r="J320" s="74"/>
    </row>
    <row r="321">
      <c r="A321" s="74"/>
      <c r="B321" s="71">
        <v>45835.0</v>
      </c>
      <c r="D321" s="75" t="s">
        <v>1990</v>
      </c>
      <c r="E321" s="75" t="s">
        <v>1991</v>
      </c>
      <c r="F321" s="75" t="s">
        <v>1992</v>
      </c>
      <c r="G321" s="75" t="s">
        <v>1781</v>
      </c>
      <c r="H321" s="75" t="s">
        <v>1868</v>
      </c>
      <c r="I321" s="75"/>
      <c r="J321" s="74"/>
    </row>
    <row r="322">
      <c r="A322" s="74"/>
      <c r="B322" s="71">
        <v>45836.0</v>
      </c>
      <c r="D322" s="75" t="s">
        <v>1993</v>
      </c>
      <c r="E322" s="75" t="s">
        <v>1994</v>
      </c>
      <c r="F322" s="75" t="s">
        <v>1821</v>
      </c>
      <c r="G322" s="75" t="s">
        <v>1781</v>
      </c>
      <c r="H322" s="75" t="s">
        <v>1907</v>
      </c>
      <c r="I322" s="75"/>
      <c r="J322" s="74"/>
    </row>
    <row r="323">
      <c r="A323" s="74"/>
      <c r="B323" s="71">
        <v>45837.0</v>
      </c>
      <c r="D323" s="75" t="s">
        <v>1995</v>
      </c>
      <c r="E323" s="75" t="s">
        <v>1996</v>
      </c>
      <c r="F323" s="75" t="s">
        <v>1025</v>
      </c>
      <c r="G323" s="75" t="s">
        <v>1781</v>
      </c>
      <c r="H323" s="75" t="s">
        <v>1657</v>
      </c>
      <c r="I323" s="75"/>
      <c r="J323" s="74"/>
    </row>
    <row r="324">
      <c r="A324" s="74"/>
      <c r="B324" s="71">
        <v>45838.0</v>
      </c>
      <c r="D324" s="75" t="s">
        <v>1778</v>
      </c>
      <c r="E324" s="75" t="s">
        <v>1997</v>
      </c>
      <c r="F324" s="75" t="s">
        <v>1998</v>
      </c>
      <c r="G324" s="75" t="s">
        <v>1800</v>
      </c>
      <c r="H324" s="75" t="s">
        <v>1730</v>
      </c>
      <c r="I324" s="75"/>
      <c r="J324" s="74"/>
    </row>
    <row r="325">
      <c r="A325" s="74"/>
      <c r="B325" s="71">
        <v>45839.0</v>
      </c>
      <c r="D325" s="75" t="s">
        <v>1778</v>
      </c>
      <c r="E325" s="75" t="s">
        <v>408</v>
      </c>
      <c r="F325" s="75" t="s">
        <v>1835</v>
      </c>
      <c r="G325" s="75" t="s">
        <v>1680</v>
      </c>
      <c r="H325" s="75" t="s">
        <v>1615</v>
      </c>
      <c r="I325" s="75"/>
      <c r="J325" s="74"/>
    </row>
    <row r="326">
      <c r="A326" s="74"/>
      <c r="B326" s="71">
        <v>45840.0</v>
      </c>
      <c r="D326" s="75" t="s">
        <v>408</v>
      </c>
      <c r="E326" s="75" t="s">
        <v>408</v>
      </c>
      <c r="F326" s="75" t="s">
        <v>1129</v>
      </c>
      <c r="G326" s="75" t="s">
        <v>1680</v>
      </c>
      <c r="H326" s="75" t="s">
        <v>1633</v>
      </c>
      <c r="I326" s="75"/>
      <c r="J326" s="74"/>
    </row>
    <row r="327">
      <c r="A327" s="74"/>
      <c r="B327" s="71">
        <v>45841.0</v>
      </c>
      <c r="D327" s="75" t="s">
        <v>408</v>
      </c>
      <c r="E327" s="75" t="s">
        <v>1945</v>
      </c>
      <c r="F327" s="75" t="s">
        <v>1999</v>
      </c>
      <c r="G327" s="75" t="s">
        <v>1680</v>
      </c>
      <c r="H327" s="75" t="s">
        <v>1612</v>
      </c>
      <c r="I327" s="75"/>
      <c r="J327" s="74"/>
    </row>
    <row r="328">
      <c r="A328" s="74"/>
      <c r="B328" s="71">
        <v>45842.0</v>
      </c>
      <c r="D328" s="75" t="s">
        <v>408</v>
      </c>
      <c r="E328" s="75" t="s">
        <v>2000</v>
      </c>
      <c r="F328" s="75" t="s">
        <v>1048</v>
      </c>
      <c r="G328" s="75" t="s">
        <v>1680</v>
      </c>
      <c r="H328" s="75" t="s">
        <v>1730</v>
      </c>
      <c r="I328" s="75" t="s">
        <v>2001</v>
      </c>
      <c r="J328" s="74"/>
    </row>
    <row r="329">
      <c r="A329" s="74"/>
      <c r="B329" s="71">
        <v>45843.0</v>
      </c>
      <c r="D329" s="75" t="s">
        <v>408</v>
      </c>
      <c r="E329" s="75" t="s">
        <v>1903</v>
      </c>
      <c r="F329" s="75" t="s">
        <v>2002</v>
      </c>
      <c r="G329" s="75" t="s">
        <v>1680</v>
      </c>
      <c r="H329" s="75" t="s">
        <v>1851</v>
      </c>
      <c r="I329" s="75" t="s">
        <v>2003</v>
      </c>
      <c r="J329" s="74"/>
    </row>
    <row r="330">
      <c r="A330" s="74"/>
      <c r="B330" s="71">
        <v>45844.0</v>
      </c>
      <c r="D330" s="75" t="s">
        <v>408</v>
      </c>
      <c r="E330" s="75" t="s">
        <v>2004</v>
      </c>
      <c r="F330" s="75" t="s">
        <v>2005</v>
      </c>
      <c r="G330" s="75" t="s">
        <v>1680</v>
      </c>
      <c r="H330" s="75" t="s">
        <v>1615</v>
      </c>
      <c r="I330" s="75" t="s">
        <v>2006</v>
      </c>
      <c r="J330" s="74"/>
    </row>
    <row r="331">
      <c r="A331" s="74"/>
      <c r="B331" s="71">
        <v>45845.0</v>
      </c>
      <c r="D331" s="75" t="s">
        <v>408</v>
      </c>
      <c r="E331" s="75" t="s">
        <v>2007</v>
      </c>
      <c r="F331" s="75" t="s">
        <v>1828</v>
      </c>
      <c r="G331" s="75" t="s">
        <v>1680</v>
      </c>
      <c r="H331" s="75" t="s">
        <v>1730</v>
      </c>
      <c r="I331" s="75" t="s">
        <v>2001</v>
      </c>
      <c r="J331" s="74"/>
    </row>
    <row r="332">
      <c r="A332" s="74"/>
      <c r="B332" s="71">
        <v>45846.0</v>
      </c>
      <c r="D332" s="75" t="s">
        <v>408</v>
      </c>
      <c r="E332" s="75" t="s">
        <v>2008</v>
      </c>
      <c r="F332" s="75" t="s">
        <v>1149</v>
      </c>
      <c r="G332" s="75" t="s">
        <v>1794</v>
      </c>
      <c r="H332" s="75" t="s">
        <v>1848</v>
      </c>
      <c r="I332" s="75" t="s">
        <v>2003</v>
      </c>
      <c r="J332" s="74"/>
    </row>
    <row r="333">
      <c r="A333" s="74"/>
      <c r="B333" s="71">
        <v>45847.0</v>
      </c>
      <c r="D333" s="75" t="s">
        <v>408</v>
      </c>
      <c r="E333" s="75" t="s">
        <v>2009</v>
      </c>
      <c r="F333" s="75" t="s">
        <v>2010</v>
      </c>
      <c r="G333" s="75" t="s">
        <v>1794</v>
      </c>
      <c r="H333" s="75" t="s">
        <v>1639</v>
      </c>
      <c r="I333" s="75" t="s">
        <v>2006</v>
      </c>
      <c r="J333" s="74"/>
    </row>
    <row r="334">
      <c r="A334" s="74"/>
      <c r="B334" s="71">
        <v>45848.0</v>
      </c>
      <c r="D334" s="75" t="s">
        <v>408</v>
      </c>
      <c r="E334" s="75" t="s">
        <v>2011</v>
      </c>
      <c r="F334" s="75" t="s">
        <v>2012</v>
      </c>
      <c r="G334" s="75" t="s">
        <v>1794</v>
      </c>
      <c r="H334" s="75" t="s">
        <v>1657</v>
      </c>
      <c r="I334" s="75" t="s">
        <v>2013</v>
      </c>
      <c r="J334" s="74"/>
    </row>
    <row r="335">
      <c r="A335" s="74"/>
      <c r="B335" s="71">
        <v>45849.0</v>
      </c>
      <c r="D335" s="75" t="s">
        <v>408</v>
      </c>
      <c r="E335" s="75" t="s">
        <v>2014</v>
      </c>
      <c r="F335" s="75" t="s">
        <v>1778</v>
      </c>
      <c r="G335" s="75" t="s">
        <v>1794</v>
      </c>
      <c r="H335" s="75" t="s">
        <v>1585</v>
      </c>
      <c r="I335" s="75" t="s">
        <v>2003</v>
      </c>
      <c r="J335" s="74"/>
    </row>
    <row r="336">
      <c r="A336" s="74"/>
      <c r="B336" s="71">
        <v>45850.0</v>
      </c>
      <c r="D336" s="75" t="s">
        <v>408</v>
      </c>
      <c r="E336" s="75" t="s">
        <v>1778</v>
      </c>
      <c r="F336" s="75" t="s">
        <v>1170</v>
      </c>
      <c r="G336" s="75" t="s">
        <v>1794</v>
      </c>
      <c r="H336" s="75" t="s">
        <v>1592</v>
      </c>
      <c r="I336" s="75" t="s">
        <v>2001</v>
      </c>
      <c r="J336" s="74"/>
    </row>
    <row r="337">
      <c r="A337" s="74"/>
      <c r="B337" s="71">
        <v>45851.0</v>
      </c>
      <c r="D337" s="75" t="s">
        <v>408</v>
      </c>
      <c r="E337" s="75" t="s">
        <v>2015</v>
      </c>
      <c r="F337" s="75" t="s">
        <v>1192</v>
      </c>
      <c r="G337" s="75" t="s">
        <v>1794</v>
      </c>
      <c r="H337" s="75" t="s">
        <v>1730</v>
      </c>
      <c r="I337" s="75" t="s">
        <v>2013</v>
      </c>
      <c r="J337" s="74"/>
    </row>
    <row r="338">
      <c r="A338" s="74"/>
      <c r="B338" s="71">
        <v>45852.0</v>
      </c>
      <c r="D338" s="75" t="s">
        <v>408</v>
      </c>
      <c r="E338" s="75" t="s">
        <v>2016</v>
      </c>
      <c r="F338" s="75" t="s">
        <v>1182</v>
      </c>
      <c r="G338" s="75" t="s">
        <v>1794</v>
      </c>
      <c r="H338" s="75" t="s">
        <v>1600</v>
      </c>
      <c r="I338" s="75" t="s">
        <v>2006</v>
      </c>
      <c r="J338" s="74"/>
    </row>
    <row r="339">
      <c r="A339" s="74"/>
      <c r="B339" s="71">
        <v>45853.0</v>
      </c>
      <c r="D339" s="75" t="s">
        <v>408</v>
      </c>
      <c r="E339" s="75" t="s">
        <v>2017</v>
      </c>
      <c r="F339" s="75" t="s">
        <v>2018</v>
      </c>
      <c r="G339" s="75" t="s">
        <v>1800</v>
      </c>
      <c r="H339" s="75" t="s">
        <v>1575</v>
      </c>
      <c r="I339" s="75" t="s">
        <v>2001</v>
      </c>
      <c r="J339" s="74"/>
    </row>
    <row r="340">
      <c r="A340" s="74"/>
      <c r="B340" s="71">
        <v>45854.0</v>
      </c>
      <c r="D340" s="75" t="s">
        <v>408</v>
      </c>
      <c r="E340" s="75" t="s">
        <v>2019</v>
      </c>
      <c r="F340" s="75" t="s">
        <v>1201</v>
      </c>
      <c r="G340" s="75" t="s">
        <v>1800</v>
      </c>
      <c r="H340" s="75" t="s">
        <v>1851</v>
      </c>
      <c r="I340" s="75" t="s">
        <v>2003</v>
      </c>
      <c r="J340" s="74"/>
    </row>
    <row r="341">
      <c r="A341" s="74"/>
      <c r="B341" s="71">
        <v>45855.0</v>
      </c>
      <c r="D341" s="75" t="s">
        <v>408</v>
      </c>
      <c r="E341" s="75" t="s">
        <v>1778</v>
      </c>
      <c r="F341" s="75" t="s">
        <v>2020</v>
      </c>
      <c r="G341" s="75" t="s">
        <v>1800</v>
      </c>
      <c r="H341" s="75" t="s">
        <v>1615</v>
      </c>
      <c r="I341" s="75" t="s">
        <v>2013</v>
      </c>
      <c r="J341" s="74"/>
    </row>
    <row r="342">
      <c r="A342" s="74"/>
      <c r="B342" s="71">
        <v>45856.0</v>
      </c>
      <c r="D342" s="75" t="s">
        <v>408</v>
      </c>
      <c r="E342" s="75" t="s">
        <v>2021</v>
      </c>
      <c r="F342" s="75" t="s">
        <v>2022</v>
      </c>
      <c r="G342" s="75" t="s">
        <v>1800</v>
      </c>
      <c r="H342" s="75" t="s">
        <v>1592</v>
      </c>
      <c r="I342" s="75" t="s">
        <v>2001</v>
      </c>
      <c r="J342" s="74"/>
    </row>
    <row r="343">
      <c r="A343" s="74"/>
      <c r="B343" s="71">
        <v>45857.0</v>
      </c>
      <c r="D343" s="75" t="s">
        <v>408</v>
      </c>
      <c r="E343" s="75" t="s">
        <v>2023</v>
      </c>
      <c r="F343" s="75" t="s">
        <v>2024</v>
      </c>
      <c r="G343" s="75" t="s">
        <v>1800</v>
      </c>
      <c r="H343" s="75" t="s">
        <v>1600</v>
      </c>
      <c r="I343" s="75" t="s">
        <v>2003</v>
      </c>
      <c r="J343" s="74"/>
    </row>
    <row r="344">
      <c r="A344" s="74"/>
      <c r="B344" s="71">
        <v>45858.0</v>
      </c>
      <c r="D344" s="75" t="s">
        <v>408</v>
      </c>
      <c r="E344" s="75" t="s">
        <v>2025</v>
      </c>
      <c r="F344" s="75" t="s">
        <v>2026</v>
      </c>
      <c r="G344" s="75" t="s">
        <v>1800</v>
      </c>
      <c r="H344" s="75" t="s">
        <v>1618</v>
      </c>
      <c r="I344" s="75" t="s">
        <v>2006</v>
      </c>
      <c r="J344" s="74"/>
    </row>
    <row r="345">
      <c r="A345" s="74"/>
      <c r="B345" s="71">
        <v>45859.0</v>
      </c>
      <c r="D345" s="75" t="s">
        <v>408</v>
      </c>
      <c r="E345" s="75" t="s">
        <v>2027</v>
      </c>
      <c r="F345" s="75" t="s">
        <v>1201</v>
      </c>
      <c r="G345" s="75" t="s">
        <v>1781</v>
      </c>
      <c r="H345" s="75" t="s">
        <v>1595</v>
      </c>
      <c r="I345" s="75" t="s">
        <v>2028</v>
      </c>
      <c r="J345" s="74"/>
    </row>
    <row r="346">
      <c r="A346" s="74"/>
      <c r="B346" s="71">
        <v>45860.0</v>
      </c>
      <c r="D346" s="75" t="s">
        <v>408</v>
      </c>
      <c r="E346" s="75" t="s">
        <v>2029</v>
      </c>
      <c r="F346" s="75" t="s">
        <v>2030</v>
      </c>
      <c r="G346" s="75" t="s">
        <v>1808</v>
      </c>
      <c r="H346" s="75" t="s">
        <v>1730</v>
      </c>
      <c r="I346" s="75" t="s">
        <v>2031</v>
      </c>
      <c r="J346" s="74"/>
    </row>
    <row r="347">
      <c r="A347" s="74"/>
      <c r="B347" s="71">
        <v>45861.0</v>
      </c>
      <c r="D347" s="75" t="s">
        <v>408</v>
      </c>
      <c r="E347" s="75" t="s">
        <v>2032</v>
      </c>
      <c r="F347" s="75" t="s">
        <v>2033</v>
      </c>
      <c r="G347" s="75" t="s">
        <v>1808</v>
      </c>
      <c r="H347" s="75" t="s">
        <v>1836</v>
      </c>
      <c r="I347" s="75" t="s">
        <v>2034</v>
      </c>
      <c r="J347" s="74"/>
    </row>
    <row r="348">
      <c r="A348" s="74"/>
      <c r="B348" s="71">
        <v>45862.0</v>
      </c>
      <c r="D348" s="75" t="s">
        <v>408</v>
      </c>
      <c r="E348" s="75" t="s">
        <v>2035</v>
      </c>
      <c r="F348" s="75" t="s">
        <v>1283</v>
      </c>
      <c r="G348" s="75" t="s">
        <v>1808</v>
      </c>
      <c r="H348" s="75" t="s">
        <v>1868</v>
      </c>
      <c r="I348" s="75" t="s">
        <v>2031</v>
      </c>
      <c r="J348" s="74"/>
    </row>
    <row r="349">
      <c r="A349" s="74"/>
      <c r="B349" s="71">
        <v>45863.0</v>
      </c>
      <c r="D349" s="75" t="s">
        <v>408</v>
      </c>
      <c r="E349" s="75" t="s">
        <v>2036</v>
      </c>
      <c r="F349" s="75" t="s">
        <v>1035</v>
      </c>
      <c r="G349" s="75" t="s">
        <v>1808</v>
      </c>
      <c r="H349" s="75" t="s">
        <v>1600</v>
      </c>
      <c r="I349" s="75" t="s">
        <v>2028</v>
      </c>
      <c r="J349" s="74"/>
    </row>
    <row r="350">
      <c r="A350" s="74"/>
      <c r="B350" s="71">
        <v>45864.0</v>
      </c>
      <c r="D350" s="75" t="s">
        <v>408</v>
      </c>
      <c r="E350" s="75" t="s">
        <v>2037</v>
      </c>
      <c r="F350" s="75" t="s">
        <v>815</v>
      </c>
      <c r="G350" s="75" t="s">
        <v>1808</v>
      </c>
      <c r="H350" s="75" t="s">
        <v>1633</v>
      </c>
      <c r="I350" s="75" t="s">
        <v>2034</v>
      </c>
      <c r="J350" s="74"/>
    </row>
    <row r="351">
      <c r="A351" s="74"/>
      <c r="B351" s="71">
        <v>45865.0</v>
      </c>
      <c r="D351" s="75" t="s">
        <v>408</v>
      </c>
      <c r="E351" s="75" t="s">
        <v>2038</v>
      </c>
      <c r="F351" s="75" t="s">
        <v>2039</v>
      </c>
      <c r="G351" s="75" t="s">
        <v>1808</v>
      </c>
      <c r="H351" s="75" t="s">
        <v>1848</v>
      </c>
      <c r="I351" s="75" t="s">
        <v>2028</v>
      </c>
      <c r="J351" s="74"/>
    </row>
    <row r="352">
      <c r="A352" s="74"/>
      <c r="B352" s="71">
        <v>45866.0</v>
      </c>
      <c r="D352" s="75" t="s">
        <v>408</v>
      </c>
      <c r="E352" s="75" t="s">
        <v>2040</v>
      </c>
      <c r="F352" s="75" t="s">
        <v>2041</v>
      </c>
      <c r="G352" s="75" t="s">
        <v>1808</v>
      </c>
      <c r="H352" s="75" t="s">
        <v>1618</v>
      </c>
      <c r="I352" s="75" t="s">
        <v>2031</v>
      </c>
      <c r="J352" s="74"/>
    </row>
    <row r="353">
      <c r="A353" s="74"/>
      <c r="B353" s="71">
        <v>45867.0</v>
      </c>
      <c r="D353" s="75" t="s">
        <v>408</v>
      </c>
      <c r="E353" s="75" t="s">
        <v>2042</v>
      </c>
      <c r="F353" s="75" t="s">
        <v>2043</v>
      </c>
      <c r="G353" s="75" t="s">
        <v>1750</v>
      </c>
      <c r="H353" s="75" t="s">
        <v>1633</v>
      </c>
      <c r="I353" s="75" t="s">
        <v>2028</v>
      </c>
      <c r="J353" s="74"/>
    </row>
    <row r="354">
      <c r="A354" s="74"/>
      <c r="B354" s="71">
        <v>45868.0</v>
      </c>
      <c r="D354" s="75" t="s">
        <v>408</v>
      </c>
      <c r="E354" s="75" t="s">
        <v>2044</v>
      </c>
      <c r="F354" s="75" t="s">
        <v>1828</v>
      </c>
      <c r="G354" s="75" t="s">
        <v>1750</v>
      </c>
      <c r="H354" s="75" t="s">
        <v>1604</v>
      </c>
      <c r="I354" s="75" t="s">
        <v>2031</v>
      </c>
      <c r="J354" s="74"/>
    </row>
    <row r="355">
      <c r="A355" s="74"/>
      <c r="B355" s="71">
        <v>45869.0</v>
      </c>
      <c r="D355" s="75" t="s">
        <v>408</v>
      </c>
      <c r="E355" s="75" t="s">
        <v>2045</v>
      </c>
      <c r="F355" s="75" t="s">
        <v>2046</v>
      </c>
      <c r="G355" s="75" t="s">
        <v>1750</v>
      </c>
      <c r="H355" s="75" t="s">
        <v>1848</v>
      </c>
      <c r="I355" s="75" t="s">
        <v>2034</v>
      </c>
      <c r="J355" s="74"/>
    </row>
    <row r="356">
      <c r="A356" s="74"/>
      <c r="B356" s="71">
        <v>45870.0</v>
      </c>
      <c r="D356" s="75" t="s">
        <v>408</v>
      </c>
      <c r="E356" s="75" t="s">
        <v>2047</v>
      </c>
      <c r="F356" s="75" t="s">
        <v>2048</v>
      </c>
      <c r="G356" s="75" t="s">
        <v>1584</v>
      </c>
      <c r="H356" s="75" t="s">
        <v>1585</v>
      </c>
      <c r="I356" s="75" t="s">
        <v>2028</v>
      </c>
      <c r="J356" s="74"/>
    </row>
    <row r="357">
      <c r="A357" s="74"/>
      <c r="B357" s="71">
        <v>45871.0</v>
      </c>
      <c r="D357" s="75" t="s">
        <v>408</v>
      </c>
      <c r="E357" s="75" t="s">
        <v>2049</v>
      </c>
      <c r="F357" s="75" t="s">
        <v>2010</v>
      </c>
      <c r="G357" s="75" t="s">
        <v>1584</v>
      </c>
      <c r="H357" s="75" t="s">
        <v>1851</v>
      </c>
      <c r="I357" s="75" t="s">
        <v>2031</v>
      </c>
      <c r="J357" s="74"/>
    </row>
    <row r="358">
      <c r="A358" s="74"/>
      <c r="B358" s="71">
        <v>45872.0</v>
      </c>
      <c r="D358" s="75" t="s">
        <v>408</v>
      </c>
      <c r="E358" s="75" t="s">
        <v>2050</v>
      </c>
      <c r="F358" s="75" t="s">
        <v>2051</v>
      </c>
      <c r="G358" s="75" t="s">
        <v>1584</v>
      </c>
      <c r="H358" s="75" t="s">
        <v>1595</v>
      </c>
      <c r="I358" s="75" t="s">
        <v>2052</v>
      </c>
      <c r="J358" s="74"/>
    </row>
    <row r="359">
      <c r="A359" s="74"/>
      <c r="B359" s="71">
        <v>45873.0</v>
      </c>
      <c r="D359" s="75" t="s">
        <v>2053</v>
      </c>
      <c r="E359" s="75" t="s">
        <v>2054</v>
      </c>
      <c r="F359" s="75" t="s">
        <v>1035</v>
      </c>
      <c r="G359" s="75" t="s">
        <v>1584</v>
      </c>
      <c r="H359" s="75" t="s">
        <v>1592</v>
      </c>
      <c r="I359" s="75" t="s">
        <v>2055</v>
      </c>
      <c r="J359" s="74"/>
    </row>
    <row r="360">
      <c r="A360" s="74"/>
      <c r="B360" s="71">
        <v>45874.0</v>
      </c>
      <c r="D360" s="75" t="s">
        <v>2056</v>
      </c>
      <c r="E360" s="75" t="s">
        <v>2057</v>
      </c>
      <c r="F360" s="75" t="s">
        <v>1207</v>
      </c>
      <c r="G360" s="75" t="s">
        <v>1603</v>
      </c>
      <c r="H360" s="75" t="s">
        <v>1612</v>
      </c>
      <c r="I360" s="75" t="s">
        <v>2028</v>
      </c>
      <c r="J360" s="74"/>
    </row>
    <row r="361">
      <c r="A361" s="74"/>
      <c r="B361" s="71">
        <v>45875.0</v>
      </c>
      <c r="D361" s="75" t="s">
        <v>2058</v>
      </c>
      <c r="E361" s="75" t="s">
        <v>2059</v>
      </c>
      <c r="F361" s="75" t="s">
        <v>2046</v>
      </c>
      <c r="G361" s="75" t="s">
        <v>1603</v>
      </c>
      <c r="H361" s="75" t="s">
        <v>1907</v>
      </c>
      <c r="I361" s="75" t="s">
        <v>2052</v>
      </c>
      <c r="J361" s="74"/>
    </row>
    <row r="362">
      <c r="A362" s="74"/>
      <c r="B362" s="71">
        <v>45876.0</v>
      </c>
      <c r="D362" s="75" t="s">
        <v>2060</v>
      </c>
      <c r="E362" s="75" t="s">
        <v>2061</v>
      </c>
      <c r="F362" s="75" t="s">
        <v>2051</v>
      </c>
      <c r="G362" s="75" t="s">
        <v>1603</v>
      </c>
      <c r="H362" s="75" t="s">
        <v>2062</v>
      </c>
      <c r="I362" s="75" t="s">
        <v>2031</v>
      </c>
      <c r="J362" s="74"/>
    </row>
    <row r="363">
      <c r="A363" s="74"/>
      <c r="B363" s="71">
        <v>45877.0</v>
      </c>
      <c r="D363" s="75" t="s">
        <v>2058</v>
      </c>
      <c r="E363" s="75" t="s">
        <v>2063</v>
      </c>
      <c r="F363" s="75" t="s">
        <v>919</v>
      </c>
      <c r="G363" s="75" t="s">
        <v>1603</v>
      </c>
      <c r="H363" s="75" t="s">
        <v>1622</v>
      </c>
      <c r="I363" s="75" t="s">
        <v>2028</v>
      </c>
      <c r="J363" s="74"/>
    </row>
    <row r="364">
      <c r="A364" s="74"/>
      <c r="B364" s="71">
        <v>45878.0</v>
      </c>
      <c r="D364" s="75" t="s">
        <v>933</v>
      </c>
      <c r="E364" s="75" t="s">
        <v>2064</v>
      </c>
      <c r="F364" s="75" t="s">
        <v>2051</v>
      </c>
      <c r="G364" s="75" t="s">
        <v>1603</v>
      </c>
      <c r="H364" s="75" t="s">
        <v>1575</v>
      </c>
      <c r="I364" s="75" t="s">
        <v>2052</v>
      </c>
      <c r="J364" s="74"/>
    </row>
    <row r="365">
      <c r="A365" s="74"/>
      <c r="B365" s="71">
        <v>45879.0</v>
      </c>
      <c r="D365" s="75" t="s">
        <v>1536</v>
      </c>
      <c r="E365" s="75" t="s">
        <v>2065</v>
      </c>
      <c r="F365" s="75" t="s">
        <v>1835</v>
      </c>
      <c r="G365" s="75" t="s">
        <v>1603</v>
      </c>
      <c r="H365" s="75" t="s">
        <v>1639</v>
      </c>
      <c r="I365" s="75" t="s">
        <v>2055</v>
      </c>
      <c r="J365" s="74"/>
    </row>
    <row r="366">
      <c r="A366" s="74"/>
      <c r="B366" s="71">
        <v>45880.0</v>
      </c>
      <c r="D366" s="75" t="s">
        <v>2066</v>
      </c>
      <c r="E366" s="75" t="s">
        <v>2067</v>
      </c>
      <c r="F366" s="75" t="s">
        <v>1984</v>
      </c>
      <c r="G366" s="75" t="s">
        <v>1603</v>
      </c>
      <c r="H366" s="75" t="s">
        <v>1575</v>
      </c>
      <c r="I366" s="75" t="s">
        <v>2031</v>
      </c>
      <c r="J366" s="74"/>
    </row>
    <row r="367">
      <c r="A367" s="74"/>
      <c r="B367" s="71">
        <v>45881.0</v>
      </c>
      <c r="D367" s="75" t="s">
        <v>2068</v>
      </c>
      <c r="E367" s="75" t="s">
        <v>2069</v>
      </c>
      <c r="F367" s="75" t="s">
        <v>1835</v>
      </c>
      <c r="G367" s="75" t="s">
        <v>1744</v>
      </c>
      <c r="H367" s="75" t="s">
        <v>1585</v>
      </c>
      <c r="I367" s="75" t="s">
        <v>2028</v>
      </c>
      <c r="J367" s="74"/>
    </row>
    <row r="368">
      <c r="A368" s="74"/>
      <c r="B368" s="71">
        <v>45882.0</v>
      </c>
      <c r="D368" s="75" t="s">
        <v>2070</v>
      </c>
      <c r="E368" s="75" t="s">
        <v>2054</v>
      </c>
      <c r="F368" s="75" t="s">
        <v>2043</v>
      </c>
      <c r="G368" s="75" t="s">
        <v>1744</v>
      </c>
      <c r="H368" s="75" t="s">
        <v>1639</v>
      </c>
      <c r="I368" s="75" t="s">
        <v>2052</v>
      </c>
      <c r="J368" s="74"/>
    </row>
    <row r="369">
      <c r="A369" s="74"/>
      <c r="B369" s="71">
        <v>45883.0</v>
      </c>
      <c r="D369" s="75" t="s">
        <v>2071</v>
      </c>
      <c r="E369" s="75" t="s">
        <v>2072</v>
      </c>
      <c r="F369" s="75" t="s">
        <v>2051</v>
      </c>
      <c r="G369" s="75" t="s">
        <v>1744</v>
      </c>
      <c r="H369" s="75" t="s">
        <v>1592</v>
      </c>
      <c r="I369" s="75" t="s">
        <v>2028</v>
      </c>
      <c r="J369" s="74"/>
    </row>
    <row r="370">
      <c r="A370" s="74"/>
      <c r="B370" s="71">
        <v>45884.0</v>
      </c>
      <c r="D370" s="75" t="s">
        <v>2073</v>
      </c>
      <c r="E370" s="75" t="s">
        <v>2074</v>
      </c>
      <c r="F370" s="75" t="s">
        <v>2075</v>
      </c>
      <c r="G370" s="75" t="s">
        <v>1744</v>
      </c>
      <c r="H370" s="75" t="s">
        <v>1657</v>
      </c>
      <c r="I370" s="75" t="s">
        <v>2055</v>
      </c>
      <c r="J370" s="74"/>
    </row>
    <row r="371">
      <c r="A371" s="74"/>
      <c r="B371" s="71">
        <v>45885.0</v>
      </c>
      <c r="D371" s="75" t="s">
        <v>993</v>
      </c>
      <c r="E371" s="75" t="s">
        <v>2076</v>
      </c>
      <c r="F371" s="75" t="s">
        <v>2077</v>
      </c>
      <c r="G371" s="75" t="s">
        <v>1744</v>
      </c>
      <c r="H371" s="75" t="s">
        <v>1907</v>
      </c>
      <c r="I371" s="75" t="s">
        <v>2031</v>
      </c>
      <c r="J371" s="74"/>
    </row>
    <row r="372">
      <c r="A372" s="74"/>
      <c r="B372" s="71">
        <v>45886.0</v>
      </c>
      <c r="D372" s="75" t="s">
        <v>1995</v>
      </c>
      <c r="E372" s="75" t="s">
        <v>2078</v>
      </c>
      <c r="F372" s="75" t="s">
        <v>2079</v>
      </c>
      <c r="G372" s="75" t="s">
        <v>1744</v>
      </c>
      <c r="H372" s="75" t="s">
        <v>1585</v>
      </c>
      <c r="I372" s="75" t="s">
        <v>2028</v>
      </c>
      <c r="J372" s="74"/>
    </row>
    <row r="373">
      <c r="A373" s="74"/>
      <c r="B373" s="71">
        <v>45887.0</v>
      </c>
      <c r="D373" s="75" t="s">
        <v>2060</v>
      </c>
      <c r="E373" s="75" t="s">
        <v>2080</v>
      </c>
      <c r="F373" s="75" t="s">
        <v>2081</v>
      </c>
      <c r="G373" s="75" t="s">
        <v>1744</v>
      </c>
      <c r="H373" s="75" t="s">
        <v>1851</v>
      </c>
      <c r="I373" s="75" t="s">
        <v>2055</v>
      </c>
      <c r="J373" s="74"/>
    </row>
    <row r="374">
      <c r="A374" s="74"/>
      <c r="B374" s="71">
        <v>45888.0</v>
      </c>
      <c r="D374" s="75" t="s">
        <v>2068</v>
      </c>
      <c r="E374" s="75" t="s">
        <v>1166</v>
      </c>
      <c r="F374" s="75" t="s">
        <v>1178</v>
      </c>
      <c r="G374" s="75" t="s">
        <v>1669</v>
      </c>
      <c r="H374" s="75" t="s">
        <v>1615</v>
      </c>
      <c r="I374" s="75" t="s">
        <v>2031</v>
      </c>
      <c r="J374" s="74"/>
    </row>
    <row r="375">
      <c r="A375" s="74"/>
      <c r="B375" s="71">
        <v>45889.0</v>
      </c>
      <c r="D375" s="75" t="s">
        <v>2060</v>
      </c>
      <c r="E375" s="75" t="s">
        <v>2082</v>
      </c>
      <c r="F375" s="75" t="s">
        <v>2083</v>
      </c>
      <c r="G375" s="75" t="s">
        <v>1669</v>
      </c>
      <c r="H375" s="75" t="s">
        <v>2062</v>
      </c>
      <c r="I375" s="75" t="s">
        <v>2052</v>
      </c>
      <c r="J375" s="74"/>
    </row>
    <row r="376">
      <c r="A376" s="74"/>
      <c r="B376" s="71">
        <v>45890.0</v>
      </c>
      <c r="D376" s="75" t="s">
        <v>2068</v>
      </c>
      <c r="E376" s="75" t="s">
        <v>2084</v>
      </c>
      <c r="F376" s="75" t="s">
        <v>2085</v>
      </c>
      <c r="G376" s="75" t="s">
        <v>1669</v>
      </c>
      <c r="H376" s="75" t="s">
        <v>1907</v>
      </c>
      <c r="I376" s="75" t="s">
        <v>2034</v>
      </c>
      <c r="J376" s="74"/>
    </row>
    <row r="377">
      <c r="A377" s="74"/>
      <c r="B377" s="71">
        <v>45891.0</v>
      </c>
      <c r="D377" s="75" t="s">
        <v>2060</v>
      </c>
      <c r="E377" s="75" t="s">
        <v>2086</v>
      </c>
      <c r="F377" s="75" t="s">
        <v>2087</v>
      </c>
      <c r="G377" s="75" t="s">
        <v>1669</v>
      </c>
      <c r="H377" s="75" t="s">
        <v>1595</v>
      </c>
      <c r="I377" s="75" t="s">
        <v>2031</v>
      </c>
      <c r="J377" s="74"/>
    </row>
    <row r="378">
      <c r="A378" s="74"/>
      <c r="B378" s="71">
        <v>45892.0</v>
      </c>
      <c r="D378" s="75" t="s">
        <v>1925</v>
      </c>
      <c r="E378" s="75" t="s">
        <v>2088</v>
      </c>
      <c r="F378" s="75" t="s">
        <v>1953</v>
      </c>
      <c r="G378" s="75" t="s">
        <v>1669</v>
      </c>
      <c r="H378" s="75" t="s">
        <v>1907</v>
      </c>
      <c r="I378" s="75" t="s">
        <v>2055</v>
      </c>
      <c r="J378" s="74"/>
    </row>
    <row r="379">
      <c r="A379" s="74"/>
      <c r="B379" s="71">
        <v>45893.0</v>
      </c>
      <c r="D379" s="75" t="s">
        <v>993</v>
      </c>
      <c r="E379" s="75" t="s">
        <v>2089</v>
      </c>
      <c r="F379" s="75" t="s">
        <v>1828</v>
      </c>
      <c r="G379" s="75" t="s">
        <v>1669</v>
      </c>
      <c r="H379" s="75" t="s">
        <v>1657</v>
      </c>
      <c r="I379" s="75" t="s">
        <v>2034</v>
      </c>
      <c r="J379" s="74"/>
    </row>
    <row r="380">
      <c r="A380" s="74"/>
      <c r="B380" s="71">
        <v>45894.0</v>
      </c>
      <c r="D380" s="75" t="s">
        <v>463</v>
      </c>
      <c r="E380" s="75" t="s">
        <v>2090</v>
      </c>
      <c r="F380" s="75" t="s">
        <v>1872</v>
      </c>
      <c r="G380" s="75" t="s">
        <v>1669</v>
      </c>
      <c r="H380" s="75" t="s">
        <v>1836</v>
      </c>
      <c r="I380" s="75" t="s">
        <v>2052</v>
      </c>
      <c r="J380" s="74"/>
    </row>
    <row r="381">
      <c r="A381" s="74"/>
      <c r="B381" s="71">
        <v>45895.0</v>
      </c>
      <c r="D381" s="75" t="s">
        <v>2091</v>
      </c>
      <c r="E381" s="75" t="s">
        <v>2092</v>
      </c>
      <c r="F381" s="75" t="s">
        <v>1770</v>
      </c>
      <c r="G381" s="75" t="s">
        <v>1621</v>
      </c>
      <c r="H381" s="75" t="s">
        <v>1868</v>
      </c>
      <c r="I381" s="75" t="s">
        <v>2034</v>
      </c>
      <c r="J381" s="74"/>
    </row>
    <row r="382">
      <c r="A382" s="74"/>
      <c r="B382" s="71">
        <v>45896.0</v>
      </c>
      <c r="D382" s="75" t="s">
        <v>2093</v>
      </c>
      <c r="E382" s="75" t="s">
        <v>1778</v>
      </c>
      <c r="F382" s="75" t="s">
        <v>2094</v>
      </c>
      <c r="G382" s="75" t="s">
        <v>1621</v>
      </c>
      <c r="H382" s="75" t="s">
        <v>1657</v>
      </c>
      <c r="I382" s="75" t="s">
        <v>2031</v>
      </c>
      <c r="J382" s="74"/>
    </row>
    <row r="383">
      <c r="A383" s="74"/>
      <c r="B383" s="71">
        <v>45897.0</v>
      </c>
      <c r="D383" s="75" t="s">
        <v>1725</v>
      </c>
      <c r="E383" s="75" t="s">
        <v>1778</v>
      </c>
      <c r="F383" s="75" t="s">
        <v>2095</v>
      </c>
      <c r="G383" s="75" t="s">
        <v>1621</v>
      </c>
      <c r="H383" s="75" t="s">
        <v>1618</v>
      </c>
      <c r="I383" s="75" t="s">
        <v>2034</v>
      </c>
      <c r="J383" s="74"/>
    </row>
    <row r="384">
      <c r="A384" s="74"/>
      <c r="B384" s="71">
        <v>45898.0</v>
      </c>
      <c r="D384" s="75" t="s">
        <v>1890</v>
      </c>
      <c r="E384" s="75" t="s">
        <v>2096</v>
      </c>
      <c r="F384" s="75" t="s">
        <v>2097</v>
      </c>
      <c r="G384" s="75" t="s">
        <v>1621</v>
      </c>
      <c r="H384" s="75" t="s">
        <v>1595</v>
      </c>
      <c r="I384" s="75" t="s">
        <v>2055</v>
      </c>
      <c r="J384" s="74"/>
    </row>
    <row r="385">
      <c r="A385" s="74"/>
      <c r="B385" s="71">
        <v>45899.0</v>
      </c>
      <c r="D385" s="75" t="s">
        <v>2098</v>
      </c>
      <c r="E385" s="75" t="s">
        <v>2099</v>
      </c>
      <c r="F385" s="75" t="s">
        <v>2100</v>
      </c>
      <c r="G385" s="75" t="s">
        <v>1621</v>
      </c>
      <c r="H385" s="75" t="s">
        <v>1848</v>
      </c>
      <c r="I385" s="75" t="s">
        <v>2031</v>
      </c>
      <c r="J385" s="74"/>
    </row>
    <row r="386">
      <c r="A386" s="74"/>
      <c r="B386" s="71">
        <v>45900.0</v>
      </c>
      <c r="D386" s="75" t="s">
        <v>2101</v>
      </c>
      <c r="E386" s="75" t="s">
        <v>2102</v>
      </c>
      <c r="F386" s="75" t="s">
        <v>2103</v>
      </c>
      <c r="G386" s="75" t="s">
        <v>1621</v>
      </c>
      <c r="H386" s="75" t="s">
        <v>1615</v>
      </c>
      <c r="I386" s="75" t="s">
        <v>2034</v>
      </c>
      <c r="J386" s="74"/>
    </row>
    <row r="387">
      <c r="A387" s="74"/>
      <c r="B387" s="71">
        <v>45901.0</v>
      </c>
      <c r="D387" s="75" t="s">
        <v>1093</v>
      </c>
      <c r="E387" s="75" t="s">
        <v>2104</v>
      </c>
      <c r="F387" s="75" t="s">
        <v>2105</v>
      </c>
      <c r="G387" s="75" t="s">
        <v>1621</v>
      </c>
      <c r="H387" s="75" t="s">
        <v>1622</v>
      </c>
      <c r="I387" s="75" t="s">
        <v>2052</v>
      </c>
      <c r="J387" s="74"/>
    </row>
    <row r="388">
      <c r="A388" s="74"/>
      <c r="B388" s="71">
        <v>45902.0</v>
      </c>
      <c r="D388" s="75" t="s">
        <v>845</v>
      </c>
      <c r="E388" s="75" t="s">
        <v>1968</v>
      </c>
      <c r="F388" s="75" t="s">
        <v>2106</v>
      </c>
      <c r="G388" s="75" t="s">
        <v>1680</v>
      </c>
      <c r="H388" s="75" t="s">
        <v>1600</v>
      </c>
      <c r="I388" s="75" t="s">
        <v>2031</v>
      </c>
      <c r="J388" s="74"/>
    </row>
    <row r="389">
      <c r="A389" s="74"/>
      <c r="B389" s="71">
        <v>45903.0</v>
      </c>
      <c r="D389" s="75" t="s">
        <v>2107</v>
      </c>
      <c r="E389" s="75" t="s">
        <v>2108</v>
      </c>
      <c r="F389" s="75" t="s">
        <v>1342</v>
      </c>
      <c r="G389" s="75" t="s">
        <v>1680</v>
      </c>
      <c r="H389" s="75" t="s">
        <v>1585</v>
      </c>
      <c r="I389" s="75" t="s">
        <v>2034</v>
      </c>
      <c r="J389" s="74"/>
    </row>
    <row r="390">
      <c r="A390" s="74"/>
      <c r="B390" s="71">
        <v>45904.0</v>
      </c>
      <c r="D390" s="75" t="s">
        <v>2109</v>
      </c>
      <c r="E390" s="75" t="s">
        <v>2110</v>
      </c>
      <c r="F390" s="75" t="s">
        <v>2105</v>
      </c>
      <c r="G390" s="75" t="s">
        <v>1680</v>
      </c>
      <c r="H390" s="75" t="s">
        <v>1633</v>
      </c>
      <c r="I390" s="75" t="s">
        <v>2055</v>
      </c>
      <c r="J390" s="74"/>
    </row>
    <row r="391">
      <c r="A391" s="74"/>
      <c r="B391" s="71">
        <v>45905.0</v>
      </c>
      <c r="D391" s="75" t="s">
        <v>1990</v>
      </c>
      <c r="E391" s="75" t="s">
        <v>2111</v>
      </c>
      <c r="F391" s="75" t="s">
        <v>1342</v>
      </c>
      <c r="G391" s="75" t="s">
        <v>1680</v>
      </c>
      <c r="H391" s="75" t="s">
        <v>1622</v>
      </c>
      <c r="I391" s="75" t="s">
        <v>2031</v>
      </c>
      <c r="J391" s="74"/>
    </row>
    <row r="392">
      <c r="A392" s="74"/>
      <c r="B392" s="71">
        <v>45906.0</v>
      </c>
      <c r="D392" s="75" t="s">
        <v>1988</v>
      </c>
      <c r="E392" s="75" t="s">
        <v>2112</v>
      </c>
      <c r="F392" s="75" t="s">
        <v>2113</v>
      </c>
      <c r="G392" s="75" t="s">
        <v>1680</v>
      </c>
      <c r="H392" s="75" t="s">
        <v>2062</v>
      </c>
      <c r="I392" s="75" t="s">
        <v>2034</v>
      </c>
      <c r="J392" s="74"/>
    </row>
    <row r="393">
      <c r="A393" s="74"/>
      <c r="B393" s="71">
        <v>45907.0</v>
      </c>
      <c r="D393" s="75" t="s">
        <v>1293</v>
      </c>
      <c r="E393" s="75" t="s">
        <v>1946</v>
      </c>
      <c r="F393" s="75" t="s">
        <v>2114</v>
      </c>
      <c r="G393" s="75" t="s">
        <v>1680</v>
      </c>
      <c r="H393" s="75" t="s">
        <v>1592</v>
      </c>
      <c r="I393" s="75" t="s">
        <v>2052</v>
      </c>
      <c r="J393" s="74"/>
    </row>
    <row r="394">
      <c r="A394" s="74"/>
      <c r="B394" s="71">
        <v>45908.0</v>
      </c>
      <c r="D394" s="75" t="s">
        <v>1777</v>
      </c>
      <c r="E394" s="75" t="s">
        <v>2115</v>
      </c>
      <c r="F394" s="75" t="s">
        <v>2116</v>
      </c>
      <c r="G394" s="75" t="s">
        <v>1680</v>
      </c>
      <c r="H394" s="75" t="s">
        <v>1639</v>
      </c>
      <c r="I394" s="75" t="s">
        <v>2031</v>
      </c>
      <c r="J394" s="74"/>
    </row>
    <row r="395">
      <c r="A395" s="74"/>
      <c r="B395" s="71">
        <v>45909.0</v>
      </c>
      <c r="D395" s="75" t="s">
        <v>1773</v>
      </c>
      <c r="E395" s="75" t="s">
        <v>1814</v>
      </c>
      <c r="F395" s="75" t="s">
        <v>2117</v>
      </c>
      <c r="G395" s="75" t="s">
        <v>1656</v>
      </c>
      <c r="H395" s="75" t="s">
        <v>1868</v>
      </c>
      <c r="I395" s="75" t="s">
        <v>2055</v>
      </c>
      <c r="J395" s="74"/>
    </row>
    <row r="396">
      <c r="A396" s="74"/>
      <c r="B396" s="71">
        <v>45910.0</v>
      </c>
      <c r="D396" s="75" t="s">
        <v>2118</v>
      </c>
      <c r="E396" s="75" t="s">
        <v>2119</v>
      </c>
      <c r="F396" s="75" t="s">
        <v>2120</v>
      </c>
      <c r="G396" s="75" t="s">
        <v>1656</v>
      </c>
      <c r="H396" s="75" t="s">
        <v>1907</v>
      </c>
      <c r="I396" s="75" t="s">
        <v>2052</v>
      </c>
      <c r="J396" s="74"/>
    </row>
    <row r="397">
      <c r="A397" s="74"/>
      <c r="B397" s="71">
        <v>45911.0</v>
      </c>
      <c r="D397" s="75" t="s">
        <v>2118</v>
      </c>
      <c r="E397" s="75" t="s">
        <v>2121</v>
      </c>
      <c r="F397" s="75" t="s">
        <v>2122</v>
      </c>
      <c r="G397" s="75" t="s">
        <v>1643</v>
      </c>
      <c r="H397" s="75" t="s">
        <v>1657</v>
      </c>
      <c r="I397" s="75" t="s">
        <v>2031</v>
      </c>
      <c r="J397" s="74"/>
    </row>
    <row r="398">
      <c r="A398" s="74"/>
      <c r="B398" s="71">
        <v>45912.0</v>
      </c>
      <c r="D398" s="75" t="s">
        <v>1777</v>
      </c>
      <c r="E398" s="75" t="s">
        <v>2123</v>
      </c>
      <c r="F398" s="75" t="s">
        <v>2124</v>
      </c>
      <c r="G398" s="75" t="s">
        <v>1643</v>
      </c>
      <c r="H398" s="75" t="s">
        <v>1585</v>
      </c>
      <c r="I398" s="75" t="s">
        <v>2034</v>
      </c>
      <c r="J398" s="74"/>
    </row>
    <row r="399">
      <c r="A399" s="74"/>
      <c r="B399" s="71">
        <v>45913.0</v>
      </c>
      <c r="D399" s="75" t="s">
        <v>2125</v>
      </c>
      <c r="E399" s="75" t="s">
        <v>2126</v>
      </c>
      <c r="F399" s="75" t="s">
        <v>2127</v>
      </c>
      <c r="G399" s="75" t="s">
        <v>1643</v>
      </c>
      <c r="H399" s="75" t="s">
        <v>2062</v>
      </c>
      <c r="I399" s="75" t="s">
        <v>2055</v>
      </c>
      <c r="J399" s="74"/>
    </row>
    <row r="400">
      <c r="A400" s="74"/>
      <c r="B400" s="71">
        <v>45914.0</v>
      </c>
      <c r="D400" s="75" t="s">
        <v>662</v>
      </c>
      <c r="E400" s="75" t="s">
        <v>1287</v>
      </c>
      <c r="F400" s="75" t="s">
        <v>2103</v>
      </c>
      <c r="G400" s="75" t="s">
        <v>1643</v>
      </c>
      <c r="H400" s="75" t="s">
        <v>1836</v>
      </c>
      <c r="I400" s="75" t="s">
        <v>2052</v>
      </c>
      <c r="J400" s="74"/>
    </row>
    <row r="401">
      <c r="A401" s="74"/>
      <c r="B401" s="71">
        <v>45915.0</v>
      </c>
      <c r="D401" s="75" t="s">
        <v>1777</v>
      </c>
      <c r="E401" s="75" t="s">
        <v>2128</v>
      </c>
      <c r="F401" s="75" t="s">
        <v>2129</v>
      </c>
      <c r="G401" s="75" t="s">
        <v>1643</v>
      </c>
      <c r="H401" s="75" t="s">
        <v>1851</v>
      </c>
      <c r="I401" s="75" t="s">
        <v>2031</v>
      </c>
      <c r="J401" s="74"/>
    </row>
    <row r="402">
      <c r="A402" s="74"/>
      <c r="B402" s="71">
        <v>45916.0</v>
      </c>
      <c r="D402" s="75" t="s">
        <v>2125</v>
      </c>
      <c r="E402" s="75" t="s">
        <v>2130</v>
      </c>
      <c r="F402" s="75" t="s">
        <v>1770</v>
      </c>
      <c r="G402" s="75" t="s">
        <v>1643</v>
      </c>
      <c r="H402" s="75" t="s">
        <v>1615</v>
      </c>
      <c r="I402" s="75" t="s">
        <v>2055</v>
      </c>
      <c r="J402" s="74"/>
    </row>
    <row r="403">
      <c r="A403" s="74"/>
      <c r="B403" s="71">
        <v>45917.0</v>
      </c>
      <c r="D403" s="75" t="s">
        <v>2131</v>
      </c>
      <c r="E403" s="75" t="s">
        <v>2132</v>
      </c>
      <c r="F403" s="75" t="s">
        <v>2133</v>
      </c>
      <c r="G403" s="75" t="s">
        <v>1643</v>
      </c>
      <c r="H403" s="75" t="s">
        <v>2062</v>
      </c>
      <c r="I403" s="75" t="s">
        <v>2034</v>
      </c>
      <c r="J403" s="74"/>
    </row>
    <row r="404">
      <c r="A404" s="74"/>
      <c r="B404" s="71">
        <v>45918.0</v>
      </c>
      <c r="D404" s="75" t="s">
        <v>1524</v>
      </c>
      <c r="E404" s="75" t="s">
        <v>2134</v>
      </c>
      <c r="F404" s="75" t="s">
        <v>2135</v>
      </c>
      <c r="G404" s="75" t="s">
        <v>1656</v>
      </c>
      <c r="H404" s="75" t="s">
        <v>1592</v>
      </c>
      <c r="I404" s="75" t="s">
        <v>2031</v>
      </c>
      <c r="J404" s="74"/>
    </row>
    <row r="405">
      <c r="A405" s="74"/>
      <c r="B405" s="71">
        <v>45919.0</v>
      </c>
      <c r="D405" s="75" t="s">
        <v>2125</v>
      </c>
      <c r="E405" s="75" t="s">
        <v>2136</v>
      </c>
      <c r="F405" s="75" t="s">
        <v>2137</v>
      </c>
      <c r="G405" s="75" t="s">
        <v>1656</v>
      </c>
      <c r="H405" s="75" t="s">
        <v>1622</v>
      </c>
      <c r="I405" s="75" t="s">
        <v>2055</v>
      </c>
      <c r="J405" s="74"/>
    </row>
    <row r="406">
      <c r="A406" s="74"/>
      <c r="B406" s="71">
        <v>45920.0</v>
      </c>
      <c r="D406" s="75" t="s">
        <v>2138</v>
      </c>
      <c r="E406" s="75" t="s">
        <v>2139</v>
      </c>
      <c r="F406" s="75" t="s">
        <v>2120</v>
      </c>
      <c r="G406" s="75" t="s">
        <v>1656</v>
      </c>
      <c r="H406" s="75" t="s">
        <v>1868</v>
      </c>
      <c r="I406" s="75" t="s">
        <v>2028</v>
      </c>
      <c r="J406" s="74"/>
    </row>
    <row r="407">
      <c r="A407" s="74"/>
      <c r="B407" s="71">
        <v>45921.0</v>
      </c>
      <c r="D407" s="75" t="s">
        <v>2140</v>
      </c>
      <c r="E407" s="75" t="s">
        <v>2132</v>
      </c>
      <c r="F407" s="75" t="s">
        <v>2141</v>
      </c>
      <c r="G407" s="75" t="s">
        <v>1656</v>
      </c>
      <c r="H407" s="75" t="s">
        <v>1600</v>
      </c>
      <c r="I407" s="75" t="s">
        <v>2031</v>
      </c>
      <c r="J407" s="74"/>
    </row>
    <row r="408">
      <c r="A408" s="74"/>
      <c r="B408" s="71">
        <v>45922.0</v>
      </c>
      <c r="D408" s="75" t="s">
        <v>2142</v>
      </c>
      <c r="E408" s="75" t="s">
        <v>2143</v>
      </c>
      <c r="F408" s="75" t="s">
        <v>2144</v>
      </c>
      <c r="G408" s="75" t="s">
        <v>1656</v>
      </c>
      <c r="H408" s="75" t="s">
        <v>1595</v>
      </c>
      <c r="I408" s="75" t="s">
        <v>2028</v>
      </c>
      <c r="J408" s="74"/>
    </row>
    <row r="409">
      <c r="A409" s="74"/>
      <c r="B409" s="71">
        <v>45923.0</v>
      </c>
      <c r="D409" s="75" t="s">
        <v>1322</v>
      </c>
      <c r="E409" s="75" t="s">
        <v>2145</v>
      </c>
      <c r="F409" s="75" t="s">
        <v>2146</v>
      </c>
      <c r="G409" s="75" t="s">
        <v>1724</v>
      </c>
      <c r="H409" s="75" t="s">
        <v>1604</v>
      </c>
      <c r="I409" s="75" t="s">
        <v>2034</v>
      </c>
      <c r="J409" s="74"/>
    </row>
    <row r="410">
      <c r="A410" s="74"/>
      <c r="B410" s="71">
        <v>45924.0</v>
      </c>
      <c r="D410" s="75" t="s">
        <v>2147</v>
      </c>
      <c r="E410" s="75" t="s">
        <v>2148</v>
      </c>
      <c r="F410" s="75" t="s">
        <v>2149</v>
      </c>
      <c r="G410" s="75" t="s">
        <v>1724</v>
      </c>
      <c r="H410" s="75" t="s">
        <v>1848</v>
      </c>
      <c r="I410" s="75" t="s">
        <v>2055</v>
      </c>
      <c r="J410" s="74"/>
    </row>
    <row r="411">
      <c r="A411" s="74"/>
      <c r="B411" s="71">
        <v>45925.0</v>
      </c>
      <c r="D411" s="75" t="s">
        <v>2150</v>
      </c>
      <c r="E411" s="75" t="s">
        <v>2151</v>
      </c>
      <c r="F411" s="75" t="s">
        <v>2152</v>
      </c>
      <c r="G411" s="75" t="s">
        <v>1724</v>
      </c>
      <c r="H411" s="75" t="s">
        <v>1612</v>
      </c>
      <c r="I411" s="75" t="s">
        <v>2031</v>
      </c>
      <c r="J411" s="74"/>
    </row>
    <row r="412">
      <c r="A412" s="74"/>
      <c r="B412" s="71">
        <v>45926.0</v>
      </c>
      <c r="D412" s="75" t="s">
        <v>408</v>
      </c>
      <c r="E412" s="75" t="s">
        <v>2153</v>
      </c>
      <c r="F412" s="75" t="s">
        <v>2137</v>
      </c>
      <c r="G412" s="75" t="s">
        <v>1724</v>
      </c>
      <c r="H412" s="75" t="s">
        <v>1595</v>
      </c>
      <c r="I412" s="75" t="s">
        <v>2034</v>
      </c>
      <c r="J412" s="74"/>
    </row>
    <row r="413">
      <c r="A413" s="74"/>
      <c r="B413" s="71">
        <v>45927.0</v>
      </c>
      <c r="D413" s="75" t="s">
        <v>408</v>
      </c>
      <c r="E413" s="75" t="s">
        <v>2154</v>
      </c>
      <c r="F413" s="75" t="s">
        <v>1778</v>
      </c>
      <c r="G413" s="75" t="s">
        <v>1724</v>
      </c>
      <c r="H413" s="75" t="s">
        <v>1618</v>
      </c>
      <c r="I413" s="75" t="s">
        <v>2055</v>
      </c>
      <c r="J413" s="74"/>
    </row>
    <row r="414">
      <c r="A414" s="74"/>
      <c r="B414" s="71">
        <v>45928.0</v>
      </c>
      <c r="D414" s="75" t="s">
        <v>408</v>
      </c>
      <c r="E414" s="75" t="s">
        <v>2155</v>
      </c>
      <c r="F414" s="75" t="s">
        <v>1778</v>
      </c>
      <c r="G414" s="75" t="s">
        <v>1724</v>
      </c>
      <c r="H414" s="75" t="s">
        <v>1600</v>
      </c>
      <c r="I414" s="75" t="s">
        <v>2028</v>
      </c>
      <c r="J414" s="74"/>
    </row>
    <row r="415">
      <c r="A415" s="74"/>
      <c r="B415" s="71">
        <v>45929.0</v>
      </c>
      <c r="D415" s="75" t="s">
        <v>2156</v>
      </c>
      <c r="E415" s="75" t="s">
        <v>535</v>
      </c>
      <c r="F415" s="75" t="s">
        <v>1778</v>
      </c>
      <c r="G415" s="75" t="s">
        <v>1584</v>
      </c>
      <c r="H415" s="75" t="s">
        <v>1575</v>
      </c>
      <c r="I415" s="75" t="s">
        <v>2031</v>
      </c>
      <c r="J415" s="74"/>
    </row>
    <row r="416">
      <c r="A416" s="74"/>
      <c r="B416" s="71">
        <v>45930.0</v>
      </c>
      <c r="D416" s="75" t="s">
        <v>2150</v>
      </c>
      <c r="E416" s="75" t="s">
        <v>535</v>
      </c>
      <c r="F416" s="75" t="s">
        <v>1778</v>
      </c>
      <c r="G416" s="75" t="s">
        <v>1584</v>
      </c>
      <c r="H416" s="75" t="s">
        <v>1600</v>
      </c>
      <c r="I416" s="75" t="s">
        <v>2055</v>
      </c>
      <c r="J416" s="74"/>
    </row>
    <row r="417">
      <c r="A417" s="74"/>
      <c r="B417" s="71">
        <v>45931.0</v>
      </c>
      <c r="D417" s="75" t="s">
        <v>1928</v>
      </c>
      <c r="E417" s="75" t="s">
        <v>535</v>
      </c>
      <c r="F417" s="75" t="s">
        <v>2157</v>
      </c>
      <c r="G417" s="75" t="s">
        <v>1584</v>
      </c>
      <c r="H417" s="75" t="s">
        <v>1622</v>
      </c>
      <c r="I417" s="75" t="s">
        <v>2055</v>
      </c>
      <c r="J417" s="74"/>
    </row>
    <row r="418">
      <c r="A418" s="74"/>
      <c r="B418" s="71">
        <v>45932.0</v>
      </c>
      <c r="D418" s="75" t="s">
        <v>1906</v>
      </c>
      <c r="E418" s="75" t="s">
        <v>535</v>
      </c>
      <c r="F418" s="75" t="s">
        <v>1778</v>
      </c>
      <c r="G418" s="75" t="s">
        <v>1584</v>
      </c>
      <c r="H418" s="75" t="s">
        <v>1907</v>
      </c>
      <c r="I418" s="75" t="s">
        <v>2028</v>
      </c>
      <c r="J418" s="74"/>
    </row>
    <row r="419">
      <c r="A419" s="74"/>
      <c r="B419" s="71">
        <v>45933.0</v>
      </c>
      <c r="D419" s="75" t="s">
        <v>1397</v>
      </c>
      <c r="E419" s="75" t="s">
        <v>535</v>
      </c>
      <c r="F419" s="75" t="s">
        <v>1778</v>
      </c>
      <c r="G419" s="75" t="s">
        <v>1594</v>
      </c>
      <c r="H419" s="75" t="s">
        <v>1575</v>
      </c>
      <c r="I419" s="75" t="s">
        <v>2031</v>
      </c>
      <c r="J419" s="74"/>
    </row>
    <row r="420">
      <c r="A420" s="74"/>
      <c r="B420" s="71">
        <v>45934.0</v>
      </c>
      <c r="D420" s="75" t="s">
        <v>2158</v>
      </c>
      <c r="E420" s="75" t="s">
        <v>535</v>
      </c>
      <c r="F420" s="75" t="s">
        <v>1778</v>
      </c>
      <c r="G420" s="75" t="s">
        <v>1594</v>
      </c>
      <c r="H420" s="75" t="s">
        <v>1612</v>
      </c>
      <c r="I420" s="75" t="s">
        <v>2055</v>
      </c>
      <c r="J420" s="74"/>
    </row>
    <row r="421">
      <c r="A421" s="74"/>
      <c r="B421" s="71">
        <v>45935.0</v>
      </c>
      <c r="D421" s="75" t="s">
        <v>2159</v>
      </c>
      <c r="E421" s="75" t="s">
        <v>535</v>
      </c>
      <c r="F421" s="75" t="s">
        <v>1778</v>
      </c>
      <c r="G421" s="75" t="s">
        <v>1594</v>
      </c>
      <c r="H421" s="75" t="s">
        <v>1622</v>
      </c>
      <c r="I421" s="75" t="s">
        <v>2031</v>
      </c>
      <c r="J421" s="74"/>
    </row>
    <row r="422">
      <c r="A422" s="74"/>
      <c r="B422" s="71">
        <v>45936.0</v>
      </c>
      <c r="D422" s="75" t="s">
        <v>2160</v>
      </c>
      <c r="E422" s="75" t="s">
        <v>535</v>
      </c>
      <c r="F422" s="75" t="s">
        <v>1778</v>
      </c>
      <c r="G422" s="75" t="s">
        <v>1594</v>
      </c>
      <c r="H422" s="75" t="s">
        <v>1618</v>
      </c>
      <c r="I422" s="75" t="s">
        <v>2055</v>
      </c>
      <c r="J422" s="74"/>
    </row>
    <row r="423">
      <c r="A423" s="74"/>
      <c r="B423" s="71">
        <v>45937.0</v>
      </c>
      <c r="D423" s="75" t="s">
        <v>1988</v>
      </c>
      <c r="E423" s="75" t="s">
        <v>535</v>
      </c>
      <c r="F423" s="75" t="s">
        <v>1778</v>
      </c>
      <c r="G423" s="75" t="s">
        <v>1594</v>
      </c>
      <c r="H423" s="75" t="s">
        <v>1622</v>
      </c>
      <c r="I423" s="75" t="s">
        <v>2161</v>
      </c>
      <c r="J423" s="74"/>
    </row>
    <row r="424">
      <c r="A424" s="74"/>
      <c r="B424" s="71">
        <v>45938.0</v>
      </c>
      <c r="D424" s="75" t="s">
        <v>2162</v>
      </c>
      <c r="E424" s="75" t="s">
        <v>535</v>
      </c>
      <c r="F424" s="75" t="s">
        <v>1778</v>
      </c>
      <c r="G424" s="75" t="s">
        <v>1594</v>
      </c>
      <c r="H424" s="75" t="s">
        <v>1848</v>
      </c>
      <c r="I424" s="75" t="s">
        <v>2031</v>
      </c>
      <c r="J424" s="74"/>
    </row>
    <row r="425">
      <c r="A425" s="74"/>
      <c r="B425" s="71">
        <v>45939.0</v>
      </c>
      <c r="D425" s="75" t="s">
        <v>2163</v>
      </c>
      <c r="E425" s="75" t="s">
        <v>535</v>
      </c>
      <c r="F425" s="75" t="s">
        <v>1778</v>
      </c>
      <c r="G425" s="75" t="s">
        <v>1594</v>
      </c>
      <c r="H425" s="75" t="s">
        <v>1612</v>
      </c>
      <c r="I425" s="75" t="s">
        <v>2055</v>
      </c>
      <c r="J425" s="74"/>
    </row>
    <row r="426">
      <c r="A426" s="74"/>
      <c r="B426" s="71">
        <v>45940.0</v>
      </c>
      <c r="D426" s="75" t="s">
        <v>2158</v>
      </c>
      <c r="E426" s="75" t="s">
        <v>535</v>
      </c>
      <c r="F426" s="75" t="s">
        <v>1778</v>
      </c>
      <c r="G426" s="79" t="s">
        <v>1781</v>
      </c>
      <c r="H426" s="75" t="s">
        <v>1848</v>
      </c>
      <c r="I426" s="75" t="s">
        <v>2031</v>
      </c>
      <c r="J426" s="74"/>
    </row>
    <row r="427">
      <c r="A427" s="74"/>
      <c r="B427" s="71">
        <v>45941.0</v>
      </c>
      <c r="D427" s="75" t="s">
        <v>2093</v>
      </c>
      <c r="E427" s="75" t="s">
        <v>535</v>
      </c>
      <c r="F427" s="75" t="s">
        <v>1778</v>
      </c>
      <c r="G427" s="79" t="s">
        <v>1781</v>
      </c>
      <c r="H427" s="75" t="s">
        <v>1575</v>
      </c>
      <c r="I427" s="75" t="s">
        <v>2028</v>
      </c>
      <c r="J427" s="74"/>
    </row>
    <row r="428">
      <c r="A428" s="74"/>
      <c r="B428" s="71">
        <v>45942.0</v>
      </c>
      <c r="D428" s="75" t="s">
        <v>2058</v>
      </c>
      <c r="E428" s="75" t="s">
        <v>535</v>
      </c>
      <c r="F428" s="75" t="s">
        <v>1778</v>
      </c>
      <c r="G428" s="79" t="s">
        <v>1781</v>
      </c>
      <c r="H428" s="75" t="s">
        <v>1907</v>
      </c>
      <c r="I428" s="75" t="s">
        <v>2161</v>
      </c>
      <c r="J428" s="74"/>
    </row>
    <row r="429">
      <c r="A429" s="74"/>
      <c r="B429" s="71">
        <v>45943.0</v>
      </c>
      <c r="D429" s="75" t="s">
        <v>2164</v>
      </c>
      <c r="E429" s="75" t="s">
        <v>535</v>
      </c>
      <c r="F429" s="75" t="s">
        <v>1778</v>
      </c>
      <c r="G429" s="79" t="s">
        <v>1781</v>
      </c>
      <c r="H429" s="75" t="s">
        <v>1868</v>
      </c>
      <c r="I429" s="75" t="s">
        <v>2055</v>
      </c>
      <c r="J429" s="74"/>
    </row>
    <row r="430">
      <c r="A430" s="74"/>
      <c r="B430" s="71">
        <v>45944.0</v>
      </c>
      <c r="D430" s="75" t="s">
        <v>1988</v>
      </c>
      <c r="E430" s="75" t="s">
        <v>535</v>
      </c>
      <c r="F430" s="75" t="s">
        <v>1778</v>
      </c>
      <c r="G430" s="79" t="s">
        <v>1781</v>
      </c>
      <c r="H430" s="75" t="s">
        <v>1575</v>
      </c>
      <c r="I430" s="75" t="s">
        <v>2161</v>
      </c>
      <c r="J430" s="74"/>
    </row>
    <row r="431">
      <c r="A431" s="74"/>
      <c r="B431" s="71">
        <v>45945.0</v>
      </c>
      <c r="D431" s="75" t="s">
        <v>1958</v>
      </c>
      <c r="E431" s="75" t="s">
        <v>535</v>
      </c>
      <c r="F431" s="75" t="s">
        <v>1778</v>
      </c>
      <c r="G431" s="79" t="s">
        <v>1781</v>
      </c>
      <c r="H431" s="75" t="s">
        <v>1657</v>
      </c>
      <c r="I431" s="75" t="s">
        <v>2031</v>
      </c>
      <c r="J431" s="74"/>
    </row>
    <row r="432">
      <c r="A432" s="74"/>
      <c r="B432" s="71">
        <v>45946.0</v>
      </c>
      <c r="D432" s="75" t="s">
        <v>2058</v>
      </c>
      <c r="E432" s="75" t="s">
        <v>535</v>
      </c>
      <c r="F432" s="75" t="s">
        <v>1778</v>
      </c>
      <c r="G432" s="79" t="s">
        <v>1781</v>
      </c>
      <c r="H432" s="75" t="s">
        <v>1633</v>
      </c>
      <c r="I432" s="75" t="s">
        <v>2055</v>
      </c>
      <c r="J432" s="74"/>
    </row>
    <row r="433">
      <c r="A433" s="74"/>
      <c r="B433" s="71">
        <v>45947.0</v>
      </c>
      <c r="D433" s="75" t="s">
        <v>396</v>
      </c>
      <c r="E433" s="75" t="s">
        <v>535</v>
      </c>
      <c r="F433" s="75" t="s">
        <v>1778</v>
      </c>
      <c r="G433" s="75" t="s">
        <v>1794</v>
      </c>
      <c r="H433" s="80" t="s">
        <v>1907</v>
      </c>
      <c r="I433" s="75" t="s">
        <v>2161</v>
      </c>
      <c r="J433" s="74"/>
    </row>
    <row r="434">
      <c r="A434" s="74"/>
      <c r="B434" s="71">
        <v>45948.0</v>
      </c>
      <c r="D434" s="75" t="s">
        <v>2165</v>
      </c>
      <c r="E434" s="75" t="s">
        <v>535</v>
      </c>
      <c r="F434" s="75" t="s">
        <v>1778</v>
      </c>
      <c r="G434" s="75" t="s">
        <v>1794</v>
      </c>
      <c r="H434" s="80" t="s">
        <v>1657</v>
      </c>
      <c r="I434" s="75" t="s">
        <v>2031</v>
      </c>
      <c r="J434" s="74"/>
    </row>
    <row r="435">
      <c r="A435" s="74"/>
      <c r="B435" s="71">
        <v>45949.0</v>
      </c>
      <c r="D435" s="75" t="s">
        <v>1928</v>
      </c>
      <c r="E435" s="75" t="s">
        <v>535</v>
      </c>
      <c r="F435" s="75" t="s">
        <v>1778</v>
      </c>
      <c r="G435" s="75" t="s">
        <v>1794</v>
      </c>
      <c r="H435" s="80" t="s">
        <v>1836</v>
      </c>
      <c r="I435" s="75" t="s">
        <v>2055</v>
      </c>
      <c r="J435" s="74"/>
    </row>
    <row r="436">
      <c r="A436" s="74"/>
      <c r="B436" s="71">
        <v>45950.0</v>
      </c>
      <c r="D436" s="75" t="s">
        <v>942</v>
      </c>
      <c r="E436" s="75" t="s">
        <v>535</v>
      </c>
      <c r="F436" s="75" t="s">
        <v>2166</v>
      </c>
      <c r="G436" s="75" t="s">
        <v>1794</v>
      </c>
      <c r="H436" s="80" t="s">
        <v>2062</v>
      </c>
      <c r="I436" s="75" t="s">
        <v>2031</v>
      </c>
      <c r="J436" s="74"/>
    </row>
    <row r="437">
      <c r="A437" s="74"/>
      <c r="B437" s="71">
        <v>45951.0</v>
      </c>
      <c r="D437" s="75" t="s">
        <v>1788</v>
      </c>
      <c r="E437" s="75" t="s">
        <v>535</v>
      </c>
      <c r="F437" s="75" t="s">
        <v>2167</v>
      </c>
      <c r="G437" s="75" t="s">
        <v>1794</v>
      </c>
      <c r="H437" s="80" t="s">
        <v>1592</v>
      </c>
      <c r="I437" s="75" t="s">
        <v>2028</v>
      </c>
      <c r="J437" s="74"/>
    </row>
    <row r="438">
      <c r="A438" s="74"/>
      <c r="B438" s="71">
        <v>45952.0</v>
      </c>
      <c r="D438" s="75" t="s">
        <v>2168</v>
      </c>
      <c r="E438" s="75" t="s">
        <v>535</v>
      </c>
      <c r="F438" s="75" t="s">
        <v>2169</v>
      </c>
      <c r="G438" s="75" t="s">
        <v>1794</v>
      </c>
      <c r="H438" s="80" t="s">
        <v>1595</v>
      </c>
      <c r="I438" s="75" t="s">
        <v>2055</v>
      </c>
      <c r="J438" s="74"/>
    </row>
    <row r="439">
      <c r="A439" s="74"/>
      <c r="B439" s="71">
        <v>45953.0</v>
      </c>
      <c r="D439" s="75" t="s">
        <v>1714</v>
      </c>
      <c r="E439" s="75" t="s">
        <v>535</v>
      </c>
      <c r="F439" s="75" t="s">
        <v>1260</v>
      </c>
      <c r="G439" s="75" t="s">
        <v>1794</v>
      </c>
      <c r="H439" s="80" t="s">
        <v>1836</v>
      </c>
      <c r="I439" s="75" t="s">
        <v>2028</v>
      </c>
      <c r="J439" s="74"/>
    </row>
    <row r="440">
      <c r="A440" s="74"/>
      <c r="B440" s="71">
        <v>45954.0</v>
      </c>
      <c r="D440" s="75" t="s">
        <v>796</v>
      </c>
      <c r="E440" s="75" t="s">
        <v>535</v>
      </c>
      <c r="F440" s="75" t="s">
        <v>2152</v>
      </c>
      <c r="G440" s="75" t="s">
        <v>1662</v>
      </c>
      <c r="H440" s="80" t="s">
        <v>2062</v>
      </c>
      <c r="I440" s="75" t="s">
        <v>2055</v>
      </c>
      <c r="J440" s="74"/>
    </row>
    <row r="441">
      <c r="A441" s="74"/>
      <c r="B441" s="71">
        <v>45955.0</v>
      </c>
      <c r="D441" s="75" t="s">
        <v>2170</v>
      </c>
      <c r="E441" s="75" t="s">
        <v>535</v>
      </c>
      <c r="F441" s="75" t="s">
        <v>2117</v>
      </c>
      <c r="G441" s="75" t="s">
        <v>1662</v>
      </c>
      <c r="H441" s="80" t="s">
        <v>1592</v>
      </c>
      <c r="I441" s="75" t="s">
        <v>2031</v>
      </c>
      <c r="J441" s="74"/>
    </row>
    <row r="442">
      <c r="A442" s="74"/>
      <c r="B442" s="71">
        <v>45956.0</v>
      </c>
      <c r="D442" s="75" t="s">
        <v>963</v>
      </c>
      <c r="E442" s="75" t="s">
        <v>535</v>
      </c>
      <c r="F442" s="75" t="s">
        <v>2167</v>
      </c>
      <c r="G442" s="75" t="s">
        <v>1662</v>
      </c>
      <c r="H442" s="80" t="s">
        <v>1851</v>
      </c>
      <c r="I442" s="75" t="s">
        <v>2028</v>
      </c>
      <c r="J442" s="74"/>
    </row>
    <row r="443">
      <c r="A443" s="74"/>
      <c r="B443" s="71">
        <v>45957.0</v>
      </c>
      <c r="D443" s="75" t="s">
        <v>2170</v>
      </c>
      <c r="E443" s="75" t="s">
        <v>535</v>
      </c>
      <c r="F443" s="75" t="s">
        <v>2171</v>
      </c>
      <c r="G443" s="75" t="s">
        <v>1662</v>
      </c>
      <c r="H443" s="80" t="s">
        <v>1595</v>
      </c>
      <c r="I443" s="75" t="s">
        <v>2055</v>
      </c>
      <c r="J443" s="74"/>
    </row>
    <row r="444">
      <c r="A444" s="74"/>
      <c r="B444" s="71">
        <v>45958.0</v>
      </c>
      <c r="D444" s="75" t="s">
        <v>963</v>
      </c>
      <c r="E444" s="75" t="s">
        <v>535</v>
      </c>
      <c r="F444" s="75" t="s">
        <v>2172</v>
      </c>
      <c r="G444" s="75" t="s">
        <v>1662</v>
      </c>
      <c r="H444" s="75" t="s">
        <v>1575</v>
      </c>
      <c r="I444" s="75" t="s">
        <v>2028</v>
      </c>
      <c r="J444" s="74"/>
    </row>
    <row r="445">
      <c r="A445" s="74"/>
      <c r="B445" s="71">
        <v>45959.0</v>
      </c>
      <c r="D445" s="75" t="s">
        <v>2173</v>
      </c>
      <c r="E445" s="75" t="s">
        <v>535</v>
      </c>
      <c r="F445" s="75" t="s">
        <v>2174</v>
      </c>
      <c r="G445" s="75" t="s">
        <v>1662</v>
      </c>
      <c r="H445" s="80" t="s">
        <v>1851</v>
      </c>
      <c r="I445" s="75" t="s">
        <v>2031</v>
      </c>
      <c r="J445" s="74"/>
    </row>
    <row r="446">
      <c r="A446" s="74"/>
      <c r="B446" s="71">
        <v>45960.0</v>
      </c>
      <c r="D446" s="75" t="s">
        <v>1925</v>
      </c>
      <c r="E446" s="75" t="s">
        <v>535</v>
      </c>
      <c r="F446" s="75" t="s">
        <v>2105</v>
      </c>
      <c r="G446" s="75" t="s">
        <v>1662</v>
      </c>
      <c r="H446" s="80" t="s">
        <v>1633</v>
      </c>
      <c r="I446" s="75" t="s">
        <v>2055</v>
      </c>
      <c r="J446" s="74"/>
    </row>
    <row r="447">
      <c r="A447" s="74"/>
      <c r="B447" s="71">
        <v>45961.0</v>
      </c>
      <c r="D447" s="75" t="s">
        <v>408</v>
      </c>
      <c r="E447" s="75" t="s">
        <v>535</v>
      </c>
      <c r="F447" s="75" t="s">
        <v>2095</v>
      </c>
      <c r="G447" s="75" t="s">
        <v>1750</v>
      </c>
      <c r="H447" s="75" t="s">
        <v>1851</v>
      </c>
      <c r="I447" s="75" t="s">
        <v>2031</v>
      </c>
      <c r="J447" s="74"/>
    </row>
    <row r="448">
      <c r="A448" s="74"/>
      <c r="B448" s="71">
        <v>45962.0</v>
      </c>
      <c r="D448" s="75" t="s">
        <v>408</v>
      </c>
      <c r="E448" s="75" t="s">
        <v>535</v>
      </c>
      <c r="F448" s="75" t="s">
        <v>2175</v>
      </c>
      <c r="G448" s="75" t="s">
        <v>1750</v>
      </c>
      <c r="H448" s="75" t="s">
        <v>1622</v>
      </c>
      <c r="I448" s="75" t="s">
        <v>2028</v>
      </c>
      <c r="J448" s="74"/>
    </row>
    <row r="449">
      <c r="A449" s="74"/>
      <c r="B449" s="71">
        <v>45963.0</v>
      </c>
      <c r="D449" s="75" t="s">
        <v>408</v>
      </c>
      <c r="E449" s="75" t="s">
        <v>535</v>
      </c>
      <c r="F449" s="75" t="s">
        <v>2176</v>
      </c>
      <c r="G449" s="75" t="s">
        <v>1750</v>
      </c>
      <c r="H449" s="80" t="s">
        <v>2062</v>
      </c>
      <c r="I449" s="75" t="s">
        <v>2055</v>
      </c>
      <c r="J449" s="74"/>
    </row>
    <row r="450">
      <c r="A450" s="74"/>
      <c r="B450" s="71">
        <v>45964.0</v>
      </c>
      <c r="D450" s="75" t="s">
        <v>2160</v>
      </c>
      <c r="E450" s="75" t="s">
        <v>535</v>
      </c>
      <c r="F450" s="75" t="s">
        <v>2177</v>
      </c>
      <c r="G450" s="75" t="s">
        <v>1750</v>
      </c>
      <c r="H450" s="75" t="s">
        <v>1575</v>
      </c>
      <c r="I450" s="75" t="s">
        <v>2031</v>
      </c>
      <c r="J450" s="74"/>
    </row>
    <row r="451">
      <c r="A451" s="74"/>
      <c r="B451" s="71">
        <v>45965.0</v>
      </c>
      <c r="D451" s="75" t="s">
        <v>408</v>
      </c>
      <c r="E451" s="75" t="s">
        <v>535</v>
      </c>
      <c r="F451" s="75" t="s">
        <v>2178</v>
      </c>
      <c r="G451" s="75" t="s">
        <v>1808</v>
      </c>
      <c r="H451" s="75" t="s">
        <v>1585</v>
      </c>
      <c r="I451" s="75" t="s">
        <v>2055</v>
      </c>
      <c r="J451" s="74"/>
    </row>
    <row r="452">
      <c r="A452" s="74"/>
      <c r="B452" s="71">
        <v>45966.0</v>
      </c>
      <c r="D452" s="75" t="s">
        <v>408</v>
      </c>
      <c r="E452" s="75" t="s">
        <v>535</v>
      </c>
      <c r="F452" s="75" t="s">
        <v>1411</v>
      </c>
      <c r="G452" s="75" t="s">
        <v>1808</v>
      </c>
      <c r="H452" s="75" t="s">
        <v>1618</v>
      </c>
      <c r="I452" s="75" t="s">
        <v>2028</v>
      </c>
      <c r="J452" s="74"/>
    </row>
    <row r="453">
      <c r="A453" s="74"/>
      <c r="B453" s="71">
        <v>45967.0</v>
      </c>
      <c r="D453" s="75" t="s">
        <v>408</v>
      </c>
      <c r="E453" s="75" t="s">
        <v>535</v>
      </c>
      <c r="F453" s="75" t="s">
        <v>2179</v>
      </c>
      <c r="G453" s="75" t="s">
        <v>1808</v>
      </c>
      <c r="H453" s="75" t="s">
        <v>1575</v>
      </c>
      <c r="I453" s="75" t="s">
        <v>2031</v>
      </c>
      <c r="J453" s="74"/>
    </row>
    <row r="454">
      <c r="A454" s="74"/>
      <c r="B454" s="71">
        <v>45968.0</v>
      </c>
      <c r="D454" s="75" t="s">
        <v>408</v>
      </c>
      <c r="E454" s="75" t="s">
        <v>535</v>
      </c>
      <c r="F454" s="75" t="s">
        <v>2180</v>
      </c>
      <c r="G454" s="75" t="s">
        <v>1808</v>
      </c>
      <c r="H454" s="75" t="s">
        <v>1848</v>
      </c>
      <c r="I454" s="75" t="s">
        <v>2028</v>
      </c>
      <c r="J454" s="74"/>
    </row>
    <row r="455">
      <c r="A455" s="74"/>
      <c r="B455" s="71">
        <v>45969.0</v>
      </c>
      <c r="D455" s="75" t="s">
        <v>408</v>
      </c>
      <c r="E455" s="75" t="s">
        <v>535</v>
      </c>
      <c r="F455" s="75" t="s">
        <v>1360</v>
      </c>
      <c r="G455" s="75" t="s">
        <v>1800</v>
      </c>
      <c r="H455" s="75" t="s">
        <v>1851</v>
      </c>
      <c r="I455" s="75" t="s">
        <v>2055</v>
      </c>
      <c r="J455" s="74"/>
    </row>
    <row r="456">
      <c r="A456" s="74"/>
      <c r="B456" s="71">
        <v>45970.0</v>
      </c>
      <c r="D456" s="75" t="s">
        <v>2181</v>
      </c>
      <c r="E456" s="75" t="s">
        <v>535</v>
      </c>
      <c r="F456" s="75" t="s">
        <v>1346</v>
      </c>
      <c r="G456" s="75" t="s">
        <v>1808</v>
      </c>
      <c r="H456" s="75" t="s">
        <v>1595</v>
      </c>
      <c r="I456" s="75" t="s">
        <v>2031</v>
      </c>
      <c r="J456" s="74"/>
    </row>
    <row r="457">
      <c r="A457" s="74"/>
      <c r="B457" s="71">
        <v>45971.0</v>
      </c>
      <c r="D457" s="75" t="s">
        <v>2182</v>
      </c>
      <c r="E457" s="75" t="s">
        <v>535</v>
      </c>
      <c r="F457" s="75" t="s">
        <v>2183</v>
      </c>
      <c r="G457" s="75" t="s">
        <v>1808</v>
      </c>
      <c r="H457" s="75" t="s">
        <v>1622</v>
      </c>
      <c r="I457" s="75" t="s">
        <v>2028</v>
      </c>
      <c r="J457" s="74"/>
    </row>
    <row r="458">
      <c r="A458" s="74"/>
      <c r="B458" s="71">
        <v>45972.0</v>
      </c>
      <c r="D458" s="75" t="s">
        <v>1435</v>
      </c>
      <c r="E458" s="75" t="s">
        <v>535</v>
      </c>
      <c r="F458" s="75" t="s">
        <v>1037</v>
      </c>
      <c r="G458" s="75" t="s">
        <v>1808</v>
      </c>
      <c r="H458" s="75" t="s">
        <v>1585</v>
      </c>
      <c r="I458" s="75" t="s">
        <v>2031</v>
      </c>
      <c r="J458" s="74"/>
    </row>
    <row r="459">
      <c r="A459" s="74"/>
      <c r="B459" s="71">
        <v>45973.0</v>
      </c>
      <c r="D459" s="75" t="s">
        <v>2181</v>
      </c>
      <c r="E459" s="75" t="s">
        <v>535</v>
      </c>
      <c r="F459" s="75" t="s">
        <v>2184</v>
      </c>
      <c r="G459" s="79" t="s">
        <v>1787</v>
      </c>
      <c r="H459" s="75" t="s">
        <v>1907</v>
      </c>
      <c r="I459" s="75" t="s">
        <v>2055</v>
      </c>
      <c r="J459" s="74"/>
    </row>
    <row r="460">
      <c r="A460" s="74"/>
      <c r="B460" s="71">
        <v>45974.0</v>
      </c>
      <c r="D460" s="75" t="s">
        <v>1913</v>
      </c>
      <c r="E460" s="75" t="s">
        <v>535</v>
      </c>
      <c r="F460" s="75" t="s">
        <v>2185</v>
      </c>
      <c r="G460" s="79" t="s">
        <v>1787</v>
      </c>
      <c r="H460" s="75" t="s">
        <v>1657</v>
      </c>
      <c r="I460" s="75" t="s">
        <v>2028</v>
      </c>
      <c r="J460" s="74"/>
    </row>
    <row r="461">
      <c r="A461" s="74"/>
      <c r="B461" s="71">
        <v>45975.0</v>
      </c>
      <c r="D461" s="75" t="s">
        <v>1397</v>
      </c>
      <c r="E461" s="75" t="s">
        <v>535</v>
      </c>
      <c r="F461" s="75" t="s">
        <v>408</v>
      </c>
      <c r="G461" s="79" t="s">
        <v>1787</v>
      </c>
      <c r="H461" s="75" t="s">
        <v>1851</v>
      </c>
      <c r="I461" s="75" t="s">
        <v>2055</v>
      </c>
      <c r="J461" s="74"/>
    </row>
    <row r="462">
      <c r="A462" s="74"/>
      <c r="B462" s="71">
        <v>45976.0</v>
      </c>
      <c r="D462" s="75" t="s">
        <v>1719</v>
      </c>
      <c r="E462" s="75" t="s">
        <v>535</v>
      </c>
      <c r="F462" s="75" t="s">
        <v>408</v>
      </c>
      <c r="G462" s="79" t="s">
        <v>1787</v>
      </c>
      <c r="H462" s="75" t="s">
        <v>1836</v>
      </c>
      <c r="I462" s="75" t="s">
        <v>2031</v>
      </c>
      <c r="J462" s="74"/>
    </row>
    <row r="463">
      <c r="A463" s="74"/>
      <c r="B463" s="71">
        <v>45977.0</v>
      </c>
      <c r="D463" s="75" t="s">
        <v>838</v>
      </c>
      <c r="E463" s="75" t="s">
        <v>535</v>
      </c>
      <c r="F463" s="75" t="s">
        <v>408</v>
      </c>
      <c r="G463" s="79" t="s">
        <v>1787</v>
      </c>
      <c r="H463" s="75" t="s">
        <v>1868</v>
      </c>
      <c r="I463" s="75" t="s">
        <v>2055</v>
      </c>
      <c r="J463" s="74"/>
    </row>
    <row r="464">
      <c r="A464" s="74"/>
      <c r="B464" s="71">
        <v>45978.0</v>
      </c>
      <c r="D464" s="75" t="s">
        <v>478</v>
      </c>
      <c r="E464" s="75" t="s">
        <v>535</v>
      </c>
      <c r="F464" s="75" t="s">
        <v>408</v>
      </c>
      <c r="G464" s="79" t="s">
        <v>1787</v>
      </c>
      <c r="H464" s="75" t="s">
        <v>1604</v>
      </c>
      <c r="I464" s="75" t="s">
        <v>2161</v>
      </c>
      <c r="J464" s="74"/>
    </row>
    <row r="465">
      <c r="A465" s="74"/>
      <c r="B465" s="71">
        <v>45979.0</v>
      </c>
      <c r="D465" s="75" t="s">
        <v>2186</v>
      </c>
      <c r="E465" s="75" t="s">
        <v>535</v>
      </c>
      <c r="F465" s="75" t="s">
        <v>408</v>
      </c>
      <c r="G465" s="75" t="s">
        <v>1781</v>
      </c>
      <c r="H465" s="75" t="s">
        <v>1836</v>
      </c>
      <c r="I465" s="75" t="s">
        <v>2031</v>
      </c>
      <c r="J465" s="74"/>
    </row>
    <row r="466">
      <c r="A466" s="74"/>
      <c r="B466" s="71">
        <v>45980.0</v>
      </c>
      <c r="D466" s="75" t="s">
        <v>2187</v>
      </c>
      <c r="E466" s="75" t="s">
        <v>535</v>
      </c>
      <c r="F466" s="75" t="s">
        <v>408</v>
      </c>
      <c r="G466" s="75" t="s">
        <v>1847</v>
      </c>
      <c r="H466" s="75" t="s">
        <v>1595</v>
      </c>
      <c r="I466" s="75" t="s">
        <v>2161</v>
      </c>
      <c r="J466" s="74"/>
    </row>
    <row r="467">
      <c r="A467" s="74"/>
      <c r="B467" s="71">
        <v>45981.0</v>
      </c>
      <c r="D467" s="75" t="s">
        <v>985</v>
      </c>
      <c r="E467" s="75" t="s">
        <v>535</v>
      </c>
      <c r="F467" s="75" t="s">
        <v>408</v>
      </c>
      <c r="G467" s="75" t="s">
        <v>1847</v>
      </c>
      <c r="H467" s="75" t="s">
        <v>1618</v>
      </c>
      <c r="I467" s="75" t="s">
        <v>2055</v>
      </c>
      <c r="J467" s="74"/>
    </row>
    <row r="468">
      <c r="A468" s="74"/>
      <c r="B468" s="71">
        <v>45982.0</v>
      </c>
      <c r="D468" s="75" t="s">
        <v>2188</v>
      </c>
      <c r="E468" s="75" t="s">
        <v>535</v>
      </c>
      <c r="F468" s="75" t="s">
        <v>2189</v>
      </c>
      <c r="G468" s="75" t="s">
        <v>1847</v>
      </c>
      <c r="H468" s="75" t="s">
        <v>1639</v>
      </c>
      <c r="I468" s="75" t="s">
        <v>2031</v>
      </c>
      <c r="J468" s="74"/>
    </row>
    <row r="469">
      <c r="A469" s="74"/>
      <c r="B469" s="71">
        <v>45983.0</v>
      </c>
      <c r="D469" s="75" t="s">
        <v>2190</v>
      </c>
      <c r="E469" s="75" t="s">
        <v>535</v>
      </c>
      <c r="F469" s="75" t="s">
        <v>408</v>
      </c>
      <c r="G469" s="75" t="s">
        <v>1847</v>
      </c>
      <c r="H469" s="75" t="s">
        <v>1868</v>
      </c>
      <c r="I469" s="75" t="s">
        <v>2161</v>
      </c>
      <c r="J469" s="74"/>
    </row>
    <row r="470">
      <c r="A470" s="74"/>
      <c r="B470" s="71">
        <v>45984.0</v>
      </c>
      <c r="D470" s="75" t="s">
        <v>2191</v>
      </c>
      <c r="E470" s="75" t="s">
        <v>535</v>
      </c>
      <c r="F470" s="75" t="s">
        <v>2192</v>
      </c>
      <c r="G470" s="75" t="s">
        <v>1847</v>
      </c>
      <c r="H470" s="75" t="s">
        <v>1600</v>
      </c>
      <c r="I470" s="75" t="s">
        <v>2031</v>
      </c>
      <c r="J470" s="74"/>
    </row>
    <row r="471">
      <c r="A471" s="74"/>
      <c r="B471" s="71">
        <v>45985.0</v>
      </c>
      <c r="D471" s="75" t="s">
        <v>1970</v>
      </c>
      <c r="E471" s="75" t="s">
        <v>535</v>
      </c>
      <c r="F471" s="75" t="s">
        <v>2193</v>
      </c>
      <c r="G471" s="75" t="s">
        <v>1847</v>
      </c>
      <c r="H471" s="75" t="s">
        <v>1595</v>
      </c>
      <c r="I471" s="75" t="s">
        <v>2055</v>
      </c>
      <c r="J471" s="74"/>
    </row>
    <row r="472">
      <c r="A472" s="74"/>
      <c r="B472" s="71">
        <v>45986.0</v>
      </c>
      <c r="D472" s="75" t="s">
        <v>1786</v>
      </c>
      <c r="E472" s="75" t="s">
        <v>535</v>
      </c>
      <c r="F472" s="75" t="s">
        <v>408</v>
      </c>
      <c r="G472" s="75" t="s">
        <v>1847</v>
      </c>
      <c r="H472" s="75" t="s">
        <v>1868</v>
      </c>
      <c r="I472" s="75" t="s">
        <v>2161</v>
      </c>
      <c r="J472" s="74"/>
    </row>
    <row r="473">
      <c r="A473" s="74"/>
      <c r="B473" s="71">
        <v>45987.0</v>
      </c>
      <c r="D473" s="75" t="s">
        <v>1917</v>
      </c>
      <c r="E473" s="75" t="s">
        <v>535</v>
      </c>
      <c r="F473" s="75" t="s">
        <v>2189</v>
      </c>
      <c r="G473" s="75" t="s">
        <v>1800</v>
      </c>
      <c r="H473" s="75" t="s">
        <v>1575</v>
      </c>
      <c r="I473" s="75" t="s">
        <v>2031</v>
      </c>
      <c r="J473" s="74"/>
    </row>
    <row r="474">
      <c r="A474" s="74"/>
      <c r="B474" s="71">
        <v>45988.0</v>
      </c>
      <c r="D474" s="75" t="s">
        <v>2194</v>
      </c>
      <c r="E474" s="75" t="s">
        <v>535</v>
      </c>
      <c r="F474" s="75" t="s">
        <v>408</v>
      </c>
      <c r="G474" s="75" t="s">
        <v>1800</v>
      </c>
      <c r="H474" s="75" t="s">
        <v>1612</v>
      </c>
      <c r="I474" s="75" t="s">
        <v>2055</v>
      </c>
      <c r="J474" s="74"/>
    </row>
    <row r="475">
      <c r="A475" s="74"/>
      <c r="B475" s="71">
        <v>45989.0</v>
      </c>
      <c r="D475" s="75" t="s">
        <v>977</v>
      </c>
      <c r="E475" s="75" t="s">
        <v>535</v>
      </c>
      <c r="F475" s="75" t="s">
        <v>2195</v>
      </c>
      <c r="G475" s="75" t="s">
        <v>1800</v>
      </c>
      <c r="H475" s="75" t="s">
        <v>1600</v>
      </c>
      <c r="I475" s="75" t="s">
        <v>2031</v>
      </c>
      <c r="J475" s="74"/>
    </row>
    <row r="476">
      <c r="A476" s="74"/>
      <c r="B476" s="71">
        <v>45990.0</v>
      </c>
      <c r="D476" s="75" t="s">
        <v>1725</v>
      </c>
      <c r="E476" s="75" t="s">
        <v>535</v>
      </c>
      <c r="F476" s="75" t="s">
        <v>2196</v>
      </c>
      <c r="G476" s="75" t="s">
        <v>1800</v>
      </c>
      <c r="H476" s="75" t="s">
        <v>1604</v>
      </c>
      <c r="I476" s="75" t="s">
        <v>2161</v>
      </c>
      <c r="J476" s="74"/>
    </row>
    <row r="477">
      <c r="A477" s="74"/>
      <c r="B477" s="71">
        <v>45991.0</v>
      </c>
      <c r="D477" s="75" t="s">
        <v>2162</v>
      </c>
      <c r="E477" s="75" t="s">
        <v>535</v>
      </c>
      <c r="F477" s="75" t="s">
        <v>2197</v>
      </c>
      <c r="G477" s="75" t="s">
        <v>1800</v>
      </c>
      <c r="H477" s="75" t="s">
        <v>1639</v>
      </c>
      <c r="I477" s="75" t="s">
        <v>2055</v>
      </c>
      <c r="J477" s="74"/>
    </row>
    <row r="478">
      <c r="A478" s="74"/>
      <c r="B478" s="71">
        <v>45992.0</v>
      </c>
      <c r="D478" s="75" t="s">
        <v>2198</v>
      </c>
      <c r="E478" s="75" t="s">
        <v>535</v>
      </c>
      <c r="F478" s="75" t="s">
        <v>2199</v>
      </c>
      <c r="G478" s="75" t="s">
        <v>1800</v>
      </c>
      <c r="H478" s="75" t="s">
        <v>1851</v>
      </c>
      <c r="I478" s="75" t="s">
        <v>2031</v>
      </c>
      <c r="J478" s="74"/>
    </row>
    <row r="479">
      <c r="A479" s="74"/>
      <c r="B479" s="71">
        <v>45993.0</v>
      </c>
      <c r="D479" s="75" t="s">
        <v>1429</v>
      </c>
      <c r="E479" s="75" t="s">
        <v>535</v>
      </c>
      <c r="F479" s="75" t="s">
        <v>1266</v>
      </c>
      <c r="G479" s="75" t="s">
        <v>1750</v>
      </c>
      <c r="H479" s="75" t="s">
        <v>1585</v>
      </c>
      <c r="I479" s="75" t="s">
        <v>2161</v>
      </c>
      <c r="J479" s="74"/>
    </row>
    <row r="480">
      <c r="A480" s="74"/>
      <c r="B480" s="71">
        <v>45994.0</v>
      </c>
      <c r="D480" s="75" t="s">
        <v>1393</v>
      </c>
      <c r="E480" s="75" t="s">
        <v>1778</v>
      </c>
      <c r="F480" s="75" t="s">
        <v>2200</v>
      </c>
      <c r="G480" s="75" t="s">
        <v>1750</v>
      </c>
      <c r="H480" s="75" t="s">
        <v>1604</v>
      </c>
      <c r="I480" s="75" t="s">
        <v>2055</v>
      </c>
      <c r="J480" s="74"/>
    </row>
    <row r="481">
      <c r="A481" s="74"/>
      <c r="B481" s="71">
        <v>45995.0</v>
      </c>
      <c r="D481" s="75" t="s">
        <v>2201</v>
      </c>
      <c r="E481" s="75" t="s">
        <v>1778</v>
      </c>
      <c r="F481" s="75" t="s">
        <v>2202</v>
      </c>
      <c r="G481" s="75" t="s">
        <v>1744</v>
      </c>
      <c r="H481" s="75" t="s">
        <v>1848</v>
      </c>
      <c r="I481" s="75" t="s">
        <v>2031</v>
      </c>
      <c r="J481" s="74"/>
    </row>
    <row r="482">
      <c r="A482" s="74"/>
      <c r="B482" s="71">
        <v>45996.0</v>
      </c>
      <c r="D482" s="75" t="s">
        <v>1393</v>
      </c>
      <c r="E482" s="75" t="s">
        <v>1778</v>
      </c>
      <c r="F482" s="75" t="s">
        <v>2203</v>
      </c>
      <c r="G482" s="75" t="s">
        <v>1724</v>
      </c>
      <c r="H482" s="75" t="s">
        <v>1575</v>
      </c>
      <c r="I482" s="75" t="s">
        <v>2055</v>
      </c>
      <c r="J482" s="74"/>
    </row>
    <row r="483">
      <c r="A483" s="74"/>
      <c r="B483" s="71">
        <v>45997.0</v>
      </c>
      <c r="D483" s="75" t="s">
        <v>2204</v>
      </c>
      <c r="E483" s="75" t="s">
        <v>2205</v>
      </c>
      <c r="F483" s="75" t="s">
        <v>2206</v>
      </c>
      <c r="G483" s="75" t="s">
        <v>1724</v>
      </c>
      <c r="H483" s="75" t="s">
        <v>1595</v>
      </c>
      <c r="I483" s="75" t="s">
        <v>2055</v>
      </c>
      <c r="J483" s="74"/>
    </row>
    <row r="484">
      <c r="A484" s="74"/>
      <c r="B484" s="71">
        <v>45998.0</v>
      </c>
      <c r="D484" s="75" t="s">
        <v>2158</v>
      </c>
      <c r="E484" s="75" t="s">
        <v>2207</v>
      </c>
      <c r="F484" s="75" t="s">
        <v>1266</v>
      </c>
      <c r="G484" s="75" t="s">
        <v>1724</v>
      </c>
      <c r="H484" s="75" t="s">
        <v>1633</v>
      </c>
      <c r="I484" s="75" t="s">
        <v>2161</v>
      </c>
      <c r="J484" s="74"/>
    </row>
    <row r="485">
      <c r="A485" s="74"/>
      <c r="B485" s="71">
        <v>45999.0</v>
      </c>
      <c r="D485" s="75" t="s">
        <v>2208</v>
      </c>
      <c r="E485" s="75" t="s">
        <v>2209</v>
      </c>
      <c r="F485" s="75" t="s">
        <v>2210</v>
      </c>
      <c r="G485" s="75" t="s">
        <v>1750</v>
      </c>
      <c r="H485" s="75" t="s">
        <v>1907</v>
      </c>
      <c r="I485" s="75" t="s">
        <v>2055</v>
      </c>
      <c r="J485" s="74"/>
    </row>
    <row r="486">
      <c r="A486" s="74"/>
      <c r="B486" s="71">
        <v>46000.0</v>
      </c>
      <c r="D486" s="75" t="s">
        <v>2170</v>
      </c>
      <c r="E486" s="75" t="s">
        <v>2211</v>
      </c>
      <c r="F486" s="75" t="s">
        <v>2212</v>
      </c>
      <c r="G486" s="75" t="s">
        <v>1750</v>
      </c>
      <c r="H486" s="75" t="s">
        <v>1615</v>
      </c>
      <c r="I486" s="75" t="s">
        <v>2031</v>
      </c>
      <c r="J486" s="74"/>
    </row>
    <row r="487">
      <c r="A487" s="74"/>
      <c r="B487" s="71">
        <v>46001.0</v>
      </c>
      <c r="D487" s="75" t="s">
        <v>1397</v>
      </c>
      <c r="E487" s="75" t="s">
        <v>2213</v>
      </c>
      <c r="F487" s="75" t="s">
        <v>2033</v>
      </c>
      <c r="G487" s="75" t="s">
        <v>1744</v>
      </c>
      <c r="H487" s="75" t="s">
        <v>2062</v>
      </c>
      <c r="I487" s="75" t="s">
        <v>2055</v>
      </c>
      <c r="J487" s="74"/>
    </row>
    <row r="488">
      <c r="A488" s="74"/>
      <c r="B488" s="71">
        <v>46002.0</v>
      </c>
      <c r="D488" s="75" t="s">
        <v>2214</v>
      </c>
      <c r="E488" s="75" t="s">
        <v>2215</v>
      </c>
      <c r="F488" s="75" t="s">
        <v>2193</v>
      </c>
      <c r="G488" s="75" t="s">
        <v>1744</v>
      </c>
      <c r="H488" s="75" t="s">
        <v>1592</v>
      </c>
      <c r="I488" s="75" t="s">
        <v>2031</v>
      </c>
      <c r="J488" s="74"/>
    </row>
    <row r="489">
      <c r="A489" s="74"/>
      <c r="B489" s="71">
        <v>46003.0</v>
      </c>
      <c r="D489" s="75" t="s">
        <v>1459</v>
      </c>
      <c r="E489" s="75" t="s">
        <v>2216</v>
      </c>
      <c r="F489" s="75" t="s">
        <v>2217</v>
      </c>
      <c r="G489" s="75" t="s">
        <v>1662</v>
      </c>
      <c r="H489" s="75" t="s">
        <v>1639</v>
      </c>
      <c r="I489" s="75" t="s">
        <v>2218</v>
      </c>
      <c r="J489" s="74"/>
    </row>
    <row r="490">
      <c r="A490" s="74"/>
      <c r="B490" s="71">
        <v>46004.0</v>
      </c>
      <c r="D490" s="75" t="s">
        <v>2219</v>
      </c>
      <c r="E490" s="75" t="s">
        <v>2220</v>
      </c>
      <c r="F490" s="75" t="s">
        <v>2217</v>
      </c>
      <c r="G490" s="75" t="s">
        <v>1662</v>
      </c>
      <c r="H490" s="75" t="s">
        <v>1907</v>
      </c>
      <c r="I490" s="75" t="s">
        <v>2031</v>
      </c>
      <c r="J490" s="74"/>
    </row>
    <row r="491">
      <c r="A491" s="74"/>
      <c r="B491" s="71">
        <v>46005.0</v>
      </c>
      <c r="D491" s="75" t="s">
        <v>985</v>
      </c>
      <c r="E491" s="75" t="s">
        <v>2221</v>
      </c>
      <c r="F491" s="75" t="s">
        <v>2222</v>
      </c>
      <c r="G491" s="75" t="s">
        <v>1662</v>
      </c>
      <c r="H491" s="75" t="s">
        <v>1585</v>
      </c>
      <c r="I491" s="75" t="s">
        <v>2161</v>
      </c>
      <c r="J491" s="74"/>
    </row>
    <row r="492">
      <c r="A492" s="74"/>
      <c r="B492" s="71">
        <v>46006.0</v>
      </c>
      <c r="D492" s="75" t="s">
        <v>2223</v>
      </c>
      <c r="E492" s="75" t="s">
        <v>2224</v>
      </c>
      <c r="F492" s="75" t="s">
        <v>2217</v>
      </c>
      <c r="G492" s="75" t="s">
        <v>1662</v>
      </c>
      <c r="H492" s="75" t="s">
        <v>1600</v>
      </c>
      <c r="I492" s="75" t="s">
        <v>2031</v>
      </c>
      <c r="J492" s="74"/>
    </row>
    <row r="493">
      <c r="A493" s="74"/>
      <c r="B493" s="71">
        <v>46007.0</v>
      </c>
      <c r="D493" s="75" t="s">
        <v>2225</v>
      </c>
      <c r="E493" s="75" t="s">
        <v>2226</v>
      </c>
      <c r="F493" s="75" t="s">
        <v>2227</v>
      </c>
      <c r="G493" s="75" t="s">
        <v>1568</v>
      </c>
      <c r="H493" s="75" t="s">
        <v>1639</v>
      </c>
      <c r="I493" s="75" t="s">
        <v>2218</v>
      </c>
      <c r="J493" s="74"/>
    </row>
    <row r="494">
      <c r="A494" s="74"/>
      <c r="B494" s="71">
        <v>46008.0</v>
      </c>
      <c r="D494" s="75" t="s">
        <v>2190</v>
      </c>
      <c r="E494" s="75" t="s">
        <v>2228</v>
      </c>
      <c r="F494" s="75" t="s">
        <v>2229</v>
      </c>
      <c r="G494" s="75" t="s">
        <v>1568</v>
      </c>
      <c r="H494" s="75" t="s">
        <v>1633</v>
      </c>
      <c r="I494" s="75" t="s">
        <v>2031</v>
      </c>
      <c r="J494" s="74"/>
    </row>
    <row r="495">
      <c r="A495" s="74"/>
      <c r="B495" s="71">
        <v>46009.0</v>
      </c>
      <c r="D495" s="75" t="s">
        <v>1392</v>
      </c>
      <c r="E495" s="75" t="s">
        <v>1778</v>
      </c>
      <c r="F495" s="75" t="s">
        <v>2141</v>
      </c>
      <c r="G495" s="75" t="s">
        <v>1568</v>
      </c>
      <c r="H495" s="75" t="s">
        <v>1600</v>
      </c>
      <c r="I495" s="75" t="s">
        <v>2161</v>
      </c>
      <c r="J495" s="74"/>
    </row>
    <row r="496">
      <c r="A496" s="74"/>
      <c r="B496" s="71">
        <v>46010.0</v>
      </c>
      <c r="D496" s="75" t="s">
        <v>2230</v>
      </c>
      <c r="E496" s="75" t="s">
        <v>2231</v>
      </c>
      <c r="F496" s="75" t="s">
        <v>2120</v>
      </c>
      <c r="G496" s="75" t="s">
        <v>1724</v>
      </c>
      <c r="H496" s="75" t="s">
        <v>1615</v>
      </c>
      <c r="I496" s="75" t="s">
        <v>2031</v>
      </c>
      <c r="J496" s="74"/>
    </row>
    <row r="497">
      <c r="A497" s="74"/>
      <c r="B497" s="71">
        <v>46011.0</v>
      </c>
      <c r="D497" s="75" t="s">
        <v>2232</v>
      </c>
      <c r="E497" s="75" t="s">
        <v>2233</v>
      </c>
      <c r="F497" s="75" t="s">
        <v>2199</v>
      </c>
      <c r="G497" s="75" t="s">
        <v>1724</v>
      </c>
      <c r="H497" s="75" t="s">
        <v>1585</v>
      </c>
      <c r="I497" s="75" t="s">
        <v>2055</v>
      </c>
      <c r="J497" s="74"/>
    </row>
    <row r="498">
      <c r="A498" s="74"/>
      <c r="B498" s="71">
        <v>46012.0</v>
      </c>
      <c r="D498" s="75" t="s">
        <v>2234</v>
      </c>
      <c r="E498" s="75" t="s">
        <v>2235</v>
      </c>
      <c r="F498" s="75" t="s">
        <v>2167</v>
      </c>
      <c r="G498" s="75" t="s">
        <v>1724</v>
      </c>
      <c r="H498" s="75" t="s">
        <v>1851</v>
      </c>
      <c r="I498" s="75" t="s">
        <v>2161</v>
      </c>
      <c r="J498" s="74"/>
    </row>
    <row r="499">
      <c r="A499" s="74"/>
      <c r="B499" s="71">
        <v>46013.0</v>
      </c>
      <c r="D499" s="75" t="s">
        <v>2236</v>
      </c>
      <c r="E499" s="75" t="s">
        <v>2237</v>
      </c>
      <c r="F499" s="75" t="s">
        <v>2193</v>
      </c>
      <c r="G499" s="75" t="s">
        <v>1724</v>
      </c>
      <c r="H499" s="75" t="s">
        <v>1615</v>
      </c>
      <c r="I499" s="75" t="s">
        <v>2055</v>
      </c>
      <c r="J499" s="74"/>
    </row>
    <row r="500">
      <c r="A500" s="74"/>
      <c r="B500" s="71">
        <v>46014.0</v>
      </c>
      <c r="D500" s="75" t="s">
        <v>2238</v>
      </c>
      <c r="E500" s="75" t="s">
        <v>2239</v>
      </c>
      <c r="F500" s="75" t="s">
        <v>1528</v>
      </c>
      <c r="G500" s="75" t="s">
        <v>1724</v>
      </c>
      <c r="H500" s="75" t="s">
        <v>2062</v>
      </c>
      <c r="I500" s="75" t="s">
        <v>2031</v>
      </c>
      <c r="J500" s="74"/>
    </row>
    <row r="501">
      <c r="A501" s="74"/>
      <c r="B501" s="71">
        <v>46015.0</v>
      </c>
      <c r="D501" s="75" t="s">
        <v>2107</v>
      </c>
      <c r="E501" s="75" t="s">
        <v>2240</v>
      </c>
      <c r="F501" s="75" t="s">
        <v>2193</v>
      </c>
      <c r="G501" s="75" t="s">
        <v>1724</v>
      </c>
      <c r="H501" s="75" t="s">
        <v>1868</v>
      </c>
      <c r="I501" s="75" t="s">
        <v>2055</v>
      </c>
      <c r="J501" s="74"/>
    </row>
    <row r="502">
      <c r="A502" s="74"/>
      <c r="B502" s="71">
        <v>46016.0</v>
      </c>
      <c r="D502" s="75" t="s">
        <v>1520</v>
      </c>
      <c r="E502" s="75" t="s">
        <v>2241</v>
      </c>
      <c r="F502" s="75" t="s">
        <v>2242</v>
      </c>
      <c r="G502" s="75" t="s">
        <v>1724</v>
      </c>
      <c r="H502" s="75" t="s">
        <v>1907</v>
      </c>
      <c r="I502" s="75" t="s">
        <v>2031</v>
      </c>
      <c r="J502" s="74"/>
    </row>
    <row r="503">
      <c r="A503" s="74"/>
      <c r="B503" s="71">
        <v>46017.0</v>
      </c>
      <c r="D503" s="75" t="s">
        <v>2243</v>
      </c>
      <c r="E503" s="75" t="s">
        <v>2213</v>
      </c>
      <c r="F503" s="75" t="s">
        <v>2244</v>
      </c>
      <c r="G503" s="75" t="s">
        <v>1568</v>
      </c>
      <c r="H503" s="75" t="s">
        <v>1851</v>
      </c>
      <c r="I503" s="75" t="s">
        <v>2055</v>
      </c>
      <c r="J503" s="74"/>
    </row>
    <row r="504">
      <c r="A504" s="74"/>
      <c r="B504" s="71">
        <v>46018.0</v>
      </c>
      <c r="D504" s="75" t="s">
        <v>1331</v>
      </c>
      <c r="E504" s="75" t="s">
        <v>2038</v>
      </c>
      <c r="F504" s="75" t="s">
        <v>1528</v>
      </c>
      <c r="G504" s="75" t="s">
        <v>1568</v>
      </c>
      <c r="H504" s="75" t="s">
        <v>1615</v>
      </c>
      <c r="I504" s="75" t="s">
        <v>2161</v>
      </c>
      <c r="J504" s="74"/>
    </row>
    <row r="505">
      <c r="A505" s="74"/>
      <c r="B505" s="71">
        <v>46019.0</v>
      </c>
      <c r="D505" s="75" t="s">
        <v>1532</v>
      </c>
      <c r="E505" s="75" t="s">
        <v>2245</v>
      </c>
      <c r="F505" s="75" t="s">
        <v>2135</v>
      </c>
      <c r="G505" s="75" t="s">
        <v>1568</v>
      </c>
      <c r="H505" s="75" t="s">
        <v>1600</v>
      </c>
      <c r="I505" s="75" t="s">
        <v>2028</v>
      </c>
      <c r="J505" s="74"/>
    </row>
    <row r="506">
      <c r="A506" s="74"/>
      <c r="B506" s="71">
        <v>46020.0</v>
      </c>
      <c r="D506" s="75" t="s">
        <v>1650</v>
      </c>
      <c r="E506" s="75" t="s">
        <v>1973</v>
      </c>
      <c r="F506" s="75" t="s">
        <v>1365</v>
      </c>
      <c r="G506" s="75" t="s">
        <v>1655</v>
      </c>
      <c r="H506" s="75" t="s">
        <v>1618</v>
      </c>
      <c r="I506" s="75" t="s">
        <v>2161</v>
      </c>
      <c r="J506" s="74"/>
    </row>
    <row r="507">
      <c r="A507" s="74"/>
      <c r="B507" s="71">
        <v>46021.0</v>
      </c>
      <c r="D507" s="75" t="s">
        <v>2246</v>
      </c>
      <c r="E507" s="75" t="s">
        <v>2247</v>
      </c>
      <c r="F507" s="75" t="s">
        <v>2248</v>
      </c>
      <c r="G507" s="75" t="s">
        <v>1655</v>
      </c>
      <c r="H507" s="75" t="s">
        <v>1604</v>
      </c>
      <c r="I507" s="75" t="s">
        <v>2028</v>
      </c>
      <c r="J507" s="74"/>
    </row>
    <row r="508">
      <c r="A508" s="74"/>
      <c r="B508" s="71">
        <v>46022.0</v>
      </c>
      <c r="D508" s="75" t="s">
        <v>2066</v>
      </c>
      <c r="E508" s="75" t="s">
        <v>2249</v>
      </c>
      <c r="F508" s="75" t="s">
        <v>1365</v>
      </c>
      <c r="G508" s="75" t="s">
        <v>1655</v>
      </c>
      <c r="H508" s="75" t="s">
        <v>1848</v>
      </c>
      <c r="I508" s="75" t="s">
        <v>2161</v>
      </c>
      <c r="J508" s="74"/>
    </row>
    <row r="509">
      <c r="A509" s="74"/>
      <c r="B509" s="71">
        <v>46023.0</v>
      </c>
      <c r="D509" s="75" t="s">
        <v>2140</v>
      </c>
      <c r="E509" s="75" t="s">
        <v>2250</v>
      </c>
      <c r="F509" s="75" t="s">
        <v>2251</v>
      </c>
      <c r="G509" s="75" t="s">
        <v>1655</v>
      </c>
      <c r="H509" s="75" t="s">
        <v>1657</v>
      </c>
      <c r="I509" s="75" t="s">
        <v>2028</v>
      </c>
      <c r="J509" s="74"/>
    </row>
    <row r="510">
      <c r="A510" s="74"/>
      <c r="B510" s="71">
        <v>46024.0</v>
      </c>
      <c r="D510" s="75" t="s">
        <v>2252</v>
      </c>
      <c r="E510" s="75" t="s">
        <v>2128</v>
      </c>
      <c r="F510" s="75" t="s">
        <v>2253</v>
      </c>
      <c r="G510" s="75" t="s">
        <v>1655</v>
      </c>
      <c r="H510" s="75" t="s">
        <v>1848</v>
      </c>
      <c r="I510" s="75" t="s">
        <v>2161</v>
      </c>
      <c r="J510" s="74"/>
    </row>
    <row r="511">
      <c r="A511" s="74"/>
      <c r="B511" s="71">
        <v>46025.0</v>
      </c>
      <c r="D511" s="75" t="s">
        <v>2254</v>
      </c>
      <c r="E511" s="75" t="s">
        <v>1973</v>
      </c>
      <c r="F511" s="75" t="s">
        <v>2251</v>
      </c>
      <c r="G511" s="75" t="s">
        <v>1655</v>
      </c>
      <c r="H511" s="75" t="s">
        <v>1604</v>
      </c>
      <c r="I511" s="75" t="s">
        <v>2028</v>
      </c>
      <c r="J511" s="74"/>
    </row>
    <row r="512">
      <c r="A512" s="74"/>
      <c r="B512" s="71">
        <v>46026.0</v>
      </c>
      <c r="D512" s="75" t="s">
        <v>2255</v>
      </c>
      <c r="E512" s="75" t="s">
        <v>2256</v>
      </c>
      <c r="F512" s="75" t="s">
        <v>1365</v>
      </c>
      <c r="G512" s="75" t="s">
        <v>1655</v>
      </c>
      <c r="H512" s="75" t="s">
        <v>2062</v>
      </c>
      <c r="I512" s="75" t="s">
        <v>2161</v>
      </c>
      <c r="J512" s="74"/>
    </row>
    <row r="513">
      <c r="A513" s="74"/>
      <c r="B513" s="71">
        <v>46027.0</v>
      </c>
      <c r="D513" s="76"/>
      <c r="E513" s="75" t="s">
        <v>2257</v>
      </c>
      <c r="F513" s="75" t="s">
        <v>2258</v>
      </c>
      <c r="G513" s="75"/>
      <c r="H513" s="75" t="s">
        <v>1851</v>
      </c>
      <c r="I513" s="75" t="s">
        <v>2055</v>
      </c>
      <c r="J513" s="74"/>
    </row>
    <row r="514">
      <c r="A514" s="74"/>
      <c r="B514" s="74"/>
      <c r="D514" s="81"/>
      <c r="E514" s="81"/>
      <c r="F514" s="81"/>
      <c r="G514" s="81"/>
      <c r="H514" s="81"/>
      <c r="I514" s="81"/>
      <c r="J514" s="74"/>
    </row>
  </sheetData>
  <mergeCells count="513"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13:C513"/>
    <mergeCell ref="B514:C514"/>
    <mergeCell ref="B506:C506"/>
    <mergeCell ref="B507:C507"/>
    <mergeCell ref="B508:C508"/>
    <mergeCell ref="B509:C509"/>
    <mergeCell ref="B510:C510"/>
    <mergeCell ref="B511:C511"/>
    <mergeCell ref="B512:C51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</mergeCells>
  <conditionalFormatting sqref="A1:C514 J1:J514">
    <cfRule type="timePeriod" dxfId="5" priority="1" timePeriod="today"/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25"/>
    <col customWidth="1" min="2" max="2" width="7.5"/>
    <col customWidth="1" min="3" max="3" width="4.38"/>
    <col customWidth="1" min="4" max="4" width="4.75"/>
    <col customWidth="1" hidden="1" min="5" max="5" width="8.88"/>
    <col customWidth="1" min="6" max="6" width="6.38"/>
    <col customWidth="1" min="7" max="7" width="7.5"/>
    <col customWidth="1" min="8" max="8" width="4.38"/>
    <col customWidth="1" min="9" max="9" width="4.75"/>
    <col customWidth="1" hidden="1" min="10" max="10" width="8.88"/>
    <col customWidth="1" min="11" max="11" width="6.38"/>
    <col customWidth="1" min="12" max="12" width="7.5"/>
    <col customWidth="1" min="13" max="13" width="4.38"/>
    <col customWidth="1" min="14" max="14" width="4.75"/>
    <col customWidth="1" hidden="1" min="15" max="15" width="8.88"/>
    <col customWidth="1" min="16" max="16" width="3.25"/>
  </cols>
  <sheetData>
    <row r="1">
      <c r="A1" s="74"/>
      <c r="B1" s="82"/>
      <c r="C1" s="82"/>
      <c r="D1" s="82"/>
      <c r="E1" s="82"/>
      <c r="F1" s="74"/>
      <c r="G1" s="82"/>
      <c r="H1" s="82"/>
      <c r="I1" s="82"/>
      <c r="J1" s="82"/>
      <c r="K1" s="74"/>
      <c r="L1" s="82"/>
      <c r="M1" s="82"/>
      <c r="N1" s="82"/>
      <c r="O1" s="82"/>
      <c r="P1" s="74"/>
    </row>
    <row r="2">
      <c r="A2" s="74"/>
      <c r="B2" s="83" t="s">
        <v>7</v>
      </c>
      <c r="E2" s="83"/>
      <c r="G2" s="84" t="s">
        <v>8</v>
      </c>
      <c r="J2" s="84"/>
      <c r="L2" s="85" t="s">
        <v>9</v>
      </c>
      <c r="O2" s="85"/>
      <c r="P2" s="74"/>
    </row>
    <row r="3">
      <c r="A3" s="74"/>
      <c r="B3" s="76">
        <f>IFERROR(__xludf.DUMMYFUNCTION("IFERROR(QUERY(IMPORTRANGE('Referências'!$B$4,""C-95 PIL!C5:J""),""SELECT Col2 WHERE (Col3&lt;&gt;'' and Col8&lt;10)"",0))"),3420116.0)</f>
        <v>3420116</v>
      </c>
      <c r="C3" s="76">
        <f>IFERROR(__xludf.DUMMYFUNCTION("IFERROR(QUERY(IMPORTRANGE('Referências'!$B$4,""C-95 PIL!C5:J""),""SELECT Col8 WHERE (Col3&lt;&gt;'' and Col8&lt;10)"",0))"),-133.0)</f>
        <v>-133</v>
      </c>
      <c r="D3" s="76" t="str">
        <f>IFERROR(__xludf.DUMMYFUNCTION("IFERROR(INDEX(IMPORTRANGE('Referências'!$B$2,""Pilotos!A5:I""),
MATCH(B3,IMPORTRANGE('Referências'!$B$2,""Pilotos!A5:A""),0),
9))"),"BRI")</f>
        <v>BRI</v>
      </c>
      <c r="E3" s="76" t="str">
        <f t="shared" ref="E3:E17" si="1">IF(D3="","",D3&amp;"("&amp;C3&amp;")")</f>
        <v>BRI(-133)</v>
      </c>
      <c r="G3" s="76">
        <f>IFERROR(__xludf.DUMMYFUNCTION("IFERROR(QUERY(IMPORTRANGE('Referências'!$B$4,""C-97 PIL!C5:J""),""SELECT Col2 WHERE (Col4&lt;&gt;'' and Col8&lt;10)"",0))"),3985954.0)</f>
        <v>3985954</v>
      </c>
      <c r="H3" s="76">
        <f>IFERROR(__xludf.DUMMYFUNCTION("IFERROR(QUERY(IMPORTRANGE('Referências'!$B$4,""C-97 PIL!C5:J""),""SELECT Col8 WHERE (Col4&lt;&gt;'' and Col8&lt;10)"",0))"),-143.0)</f>
        <v>-143</v>
      </c>
      <c r="I3" s="76" t="str">
        <f>IFERROR(__xludf.DUMMYFUNCTION("IFERROR(INDEX(IMPORTRANGE('Referências'!$B$2,""Pilotos!A5:I""),
MATCH(G3,IMPORTRANGE('Referências'!$B$2,""Pilotos!A5:A""),0),
9))"),"FIA")</f>
        <v>FIA</v>
      </c>
      <c r="J3" s="76" t="str">
        <f t="shared" ref="J3:J17" si="2">IF(I3="","",I3&amp;"("&amp;H3&amp;")")</f>
        <v>FIA(-143)</v>
      </c>
      <c r="L3" s="76">
        <f>IFERROR(__xludf.DUMMYFUNCTION("IFERROR(QUERY(IMPORTRANGE('Referências'!$B$4,""C-98 PIL!C5:J""),""SELECT Col2 WHERE (Col5&lt;&gt;'' and Col8&lt;10)"",0))"),3420116.0)</f>
        <v>3420116</v>
      </c>
      <c r="M3" s="76">
        <f>IFERROR(__xludf.DUMMYFUNCTION("IFERROR(QUERY(IMPORTRANGE('Referências'!$B$4,""C-98 PIL!C5:J""),""SELECT Col8 WHERE (Col5&lt;&gt;'' and Col8&lt;10)"",0))"),-343.0)</f>
        <v>-343</v>
      </c>
      <c r="N3" s="76" t="str">
        <f>IFERROR(__xludf.DUMMYFUNCTION("IFERROR(INDEX(IMPORTRANGE('Referências'!$B$2,""Pilotos!A5:I""),
MATCH(L3,IMPORTRANGE('Referências'!$B$2,""Pilotos!A5:A""),0),
9))"),"BRI")</f>
        <v>BRI</v>
      </c>
      <c r="O3" s="76" t="str">
        <f t="shared" ref="O3:O15" si="3">IF(N3="","",N3&amp;"("&amp;M3&amp;")")</f>
        <v>BRI(-343)</v>
      </c>
      <c r="P3" s="74"/>
    </row>
    <row r="4">
      <c r="A4" s="74"/>
      <c r="B4" s="76">
        <f>IFERROR(__xludf.DUMMYFUNCTION("""COMPUTED_VALUE"""),6313434.0)</f>
        <v>6313434</v>
      </c>
      <c r="C4" s="76">
        <f>IFERROR(__xludf.DUMMYFUNCTION("""COMPUTED_VALUE"""),-134.0)</f>
        <v>-134</v>
      </c>
      <c r="D4" s="76" t="str">
        <f>IFERROR(__xludf.DUMMYFUNCTION("IFERROR(INDEX(IMPORTRANGE('Referências'!$B$2,""Pilotos!A5:I""),
MATCH(B4,IMPORTRANGE('Referências'!$B$2,""Pilotos!A5:A""),0),
9))"),"MES")</f>
        <v>MES</v>
      </c>
      <c r="E4" s="76" t="str">
        <f t="shared" si="1"/>
        <v>MES(-134)</v>
      </c>
      <c r="G4" s="76">
        <f>IFERROR(__xludf.DUMMYFUNCTION("""COMPUTED_VALUE"""),6313434.0)</f>
        <v>6313434</v>
      </c>
      <c r="H4" s="76">
        <f>IFERROR(__xludf.DUMMYFUNCTION("""COMPUTED_VALUE"""),-140.0)</f>
        <v>-140</v>
      </c>
      <c r="I4" s="76" t="str">
        <f>IFERROR(__xludf.DUMMYFUNCTION("IFERROR(INDEX(IMPORTRANGE('Referências'!$B$2,""Pilotos!A5:I""),
MATCH(G4,IMPORTRANGE('Referências'!$B$2,""Pilotos!A5:A""),0),
9))"),"MES")</f>
        <v>MES</v>
      </c>
      <c r="J4" s="76" t="str">
        <f t="shared" si="2"/>
        <v>MES(-140)</v>
      </c>
      <c r="L4" s="76">
        <f>IFERROR(__xludf.DUMMYFUNCTION("""COMPUTED_VALUE"""),3985954.0)</f>
        <v>3985954</v>
      </c>
      <c r="M4" s="76">
        <f>IFERROR(__xludf.DUMMYFUNCTION("""COMPUTED_VALUE"""),-145.0)</f>
        <v>-145</v>
      </c>
      <c r="N4" s="76" t="str">
        <f>IFERROR(__xludf.DUMMYFUNCTION("IFERROR(INDEX(IMPORTRANGE('Referências'!$B$2,""Pilotos!A5:I""),
MATCH(L4,IMPORTRANGE('Referências'!$B$2,""Pilotos!A5:A""),0),
9))"),"FIA")</f>
        <v>FIA</v>
      </c>
      <c r="O4" s="76" t="str">
        <f t="shared" si="3"/>
        <v>FIA(-145)</v>
      </c>
      <c r="P4" s="74"/>
    </row>
    <row r="5">
      <c r="A5" s="74"/>
      <c r="B5" s="76">
        <f>IFERROR(__xludf.DUMMYFUNCTION("""COMPUTED_VALUE"""),6375243.0)</f>
        <v>6375243</v>
      </c>
      <c r="C5" s="76">
        <f>IFERROR(__xludf.DUMMYFUNCTION("""COMPUTED_VALUE"""),-134.0)</f>
        <v>-134</v>
      </c>
      <c r="D5" s="76" t="str">
        <f>IFERROR(__xludf.DUMMYFUNCTION("IFERROR(INDEX(IMPORTRANGE('Referências'!$B$2,""Pilotos!A5:I""),
MATCH(B5,IMPORTRANGE('Referências'!$B$2,""Pilotos!A5:A""),0),
9))"),"MHL")</f>
        <v>MHL</v>
      </c>
      <c r="E5" s="76" t="str">
        <f t="shared" si="1"/>
        <v>MHL(-134)</v>
      </c>
      <c r="G5" s="76">
        <f>IFERROR(__xludf.DUMMYFUNCTION("""COMPUTED_VALUE"""),6384692.0)</f>
        <v>6384692</v>
      </c>
      <c r="H5" s="76">
        <f>IFERROR(__xludf.DUMMYFUNCTION("""COMPUTED_VALUE"""),-134.0)</f>
        <v>-134</v>
      </c>
      <c r="I5" s="76" t="str">
        <f>IFERROR(__xludf.DUMMYFUNCTION("IFERROR(INDEX(IMPORTRANGE('Referências'!$B$2,""Pilotos!A5:I""),
MATCH(G5,IMPORTRANGE('Referências'!$B$2,""Pilotos!A5:A""),0),
9))"),"AEU")</f>
        <v>AEU</v>
      </c>
      <c r="J5" s="76" t="str">
        <f t="shared" si="2"/>
        <v>AEU(-134)</v>
      </c>
      <c r="L5" s="76">
        <f>IFERROR(__xludf.DUMMYFUNCTION("""COMPUTED_VALUE"""),6384692.0)</f>
        <v>6384692</v>
      </c>
      <c r="M5" s="76">
        <f>IFERROR(__xludf.DUMMYFUNCTION("""COMPUTED_VALUE"""),-305.0)</f>
        <v>-305</v>
      </c>
      <c r="N5" s="76" t="str">
        <f>IFERROR(__xludf.DUMMYFUNCTION("IFERROR(INDEX(IMPORTRANGE('Referências'!$B$2,""Pilotos!A5:I""),
MATCH(L5,IMPORTRANGE('Referências'!$B$2,""Pilotos!A5:A""),0),
9))"),"AEU")</f>
        <v>AEU</v>
      </c>
      <c r="O5" s="76" t="str">
        <f t="shared" si="3"/>
        <v>AEU(-305)</v>
      </c>
      <c r="P5" s="74"/>
    </row>
    <row r="6">
      <c r="A6" s="74"/>
      <c r="B6" s="76">
        <f>IFERROR(__xludf.DUMMYFUNCTION("""COMPUTED_VALUE"""),6572138.0)</f>
        <v>6572138</v>
      </c>
      <c r="C6" s="76">
        <f>IFERROR(__xludf.DUMMYFUNCTION("""COMPUTED_VALUE"""),-148.0)</f>
        <v>-148</v>
      </c>
      <c r="D6" s="76" t="str">
        <f>IFERROR(__xludf.DUMMYFUNCTION("IFERROR(INDEX(IMPORTRANGE('Referências'!$B$2,""Pilotos!A5:I""),
MATCH(B6,IMPORTRANGE('Referências'!$B$2,""Pilotos!A5:A""),0),
9))"),"RAY")</f>
        <v>RAY</v>
      </c>
      <c r="E6" s="76" t="str">
        <f t="shared" si="1"/>
        <v>RAY(-148)</v>
      </c>
      <c r="G6" s="76">
        <f>IFERROR(__xludf.DUMMYFUNCTION("""COMPUTED_VALUE"""),6375960.0)</f>
        <v>6375960</v>
      </c>
      <c r="H6" s="76">
        <f>IFERROR(__xludf.DUMMYFUNCTION("""COMPUTED_VALUE"""),-305.0)</f>
        <v>-305</v>
      </c>
      <c r="I6" s="76" t="str">
        <f>IFERROR(__xludf.DUMMYFUNCTION("IFERROR(INDEX(IMPORTRANGE('Referências'!$B$2,""Pilotos!A5:I""),
MATCH(G6,IMPORTRANGE('Referências'!$B$2,""Pilotos!A5:A""),0),
9))"),"MAT")</f>
        <v>MAT</v>
      </c>
      <c r="J6" s="76" t="str">
        <f t="shared" si="2"/>
        <v>MAT(-305)</v>
      </c>
      <c r="L6" s="76">
        <f>IFERROR(__xludf.DUMMYFUNCTION("""COMPUTED_VALUE"""),6572138.0)</f>
        <v>6572138</v>
      </c>
      <c r="M6" s="76">
        <f>IFERROR(__xludf.DUMMYFUNCTION("""COMPUTED_VALUE"""),-275.0)</f>
        <v>-275</v>
      </c>
      <c r="N6" s="76" t="str">
        <f>IFERROR(__xludf.DUMMYFUNCTION("IFERROR(INDEX(IMPORTRANGE('Referências'!$B$2,""Pilotos!A5:I""),
MATCH(L6,IMPORTRANGE('Referências'!$B$2,""Pilotos!A5:A""),0),
9))"),"RAY")</f>
        <v>RAY</v>
      </c>
      <c r="O6" s="76" t="str">
        <f t="shared" si="3"/>
        <v>RAY(-275)</v>
      </c>
      <c r="P6" s="74"/>
    </row>
    <row r="7">
      <c r="A7" s="74"/>
      <c r="B7" s="76">
        <f>IFERROR(__xludf.DUMMYFUNCTION("""COMPUTED_VALUE"""),6660843.0)</f>
        <v>6660843</v>
      </c>
      <c r="C7" s="76">
        <f>IFERROR(__xludf.DUMMYFUNCTION("""COMPUTED_VALUE"""),-182.0)</f>
        <v>-182</v>
      </c>
      <c r="D7" s="76" t="str">
        <f>IFERROR(__xludf.DUMMYFUNCTION("IFERROR(INDEX(IMPORTRANGE('Referências'!$B$2,""Pilotos!A5:I""),
MATCH(B7,IMPORTRANGE('Referências'!$B$2,""Pilotos!A5:A""),0),
9))"),"PCN")</f>
        <v>PCN</v>
      </c>
      <c r="E7" s="76" t="str">
        <f t="shared" si="1"/>
        <v>PCN(-182)</v>
      </c>
      <c r="G7" s="76">
        <f>IFERROR(__xludf.DUMMYFUNCTION("""COMPUTED_VALUE"""),6375243.0)</f>
        <v>6375243</v>
      </c>
      <c r="H7" s="76">
        <f>IFERROR(__xludf.DUMMYFUNCTION("""COMPUTED_VALUE"""),-150.0)</f>
        <v>-150</v>
      </c>
      <c r="I7" s="76" t="str">
        <f>IFERROR(__xludf.DUMMYFUNCTION("IFERROR(INDEX(IMPORTRANGE('Referências'!$B$2,""Pilotos!A5:I""),
MATCH(G7,IMPORTRANGE('Referências'!$B$2,""Pilotos!A5:A""),0),
9))"),"MHL")</f>
        <v>MHL</v>
      </c>
      <c r="J7" s="76" t="str">
        <f t="shared" si="2"/>
        <v>MHL(-150)</v>
      </c>
      <c r="L7" s="76">
        <f>IFERROR(__xludf.DUMMYFUNCTION("""COMPUTED_VALUE"""),6571549.0)</f>
        <v>6571549</v>
      </c>
      <c r="M7" s="76">
        <f>IFERROR(__xludf.DUMMYFUNCTION("""COMPUTED_VALUE"""),-158.0)</f>
        <v>-158</v>
      </c>
      <c r="N7" s="76" t="str">
        <f>IFERROR(__xludf.DUMMYFUNCTION("IFERROR(INDEX(IMPORTRANGE('Referências'!$B$2,""Pilotos!A5:I""),
MATCH(L7,IMPORTRANGE('Referências'!$B$2,""Pilotos!A5:A""),0),
9))"),"SLS")</f>
        <v>SLS</v>
      </c>
      <c r="O7" s="76" t="str">
        <f t="shared" si="3"/>
        <v>SLS(-158)</v>
      </c>
      <c r="P7" s="74"/>
    </row>
    <row r="8">
      <c r="A8" s="74"/>
      <c r="B8" s="76">
        <f>IFERROR(__xludf.DUMMYFUNCTION("""COMPUTED_VALUE"""),6660088.0)</f>
        <v>6660088</v>
      </c>
      <c r="C8" s="76">
        <f>IFERROR(__xludf.DUMMYFUNCTION("""COMPUTED_VALUE"""),-144.0)</f>
        <v>-144</v>
      </c>
      <c r="D8" s="76" t="str">
        <f>IFERROR(__xludf.DUMMYFUNCTION("IFERROR(INDEX(IMPORTRANGE('Referências'!$B$2,""Pilotos!A5:I""),
MATCH(B8,IMPORTRANGE('Referências'!$B$2,""Pilotos!A5:A""),0),
9))"),"JVT")</f>
        <v>JVT</v>
      </c>
      <c r="E8" s="76" t="str">
        <f t="shared" si="1"/>
        <v>JVT(-144)</v>
      </c>
      <c r="G8" s="76">
        <f>IFERROR(__xludf.DUMMYFUNCTION("""COMPUTED_VALUE"""),6482260.0)</f>
        <v>6482260</v>
      </c>
      <c r="H8" s="76">
        <f>IFERROR(__xludf.DUMMYFUNCTION("""COMPUTED_VALUE"""),-143.0)</f>
        <v>-143</v>
      </c>
      <c r="I8" s="76" t="str">
        <f>IFERROR(__xludf.DUMMYFUNCTION("IFERROR(INDEX(IMPORTRANGE('Referências'!$B$2,""Pilotos!A5:I""),
MATCH(G8,IMPORTRANGE('Referências'!$B$2,""Pilotos!A5:A""),0),
9))"),"SEI")</f>
        <v>SEI</v>
      </c>
      <c r="J8" s="76" t="str">
        <f t="shared" si="2"/>
        <v>SEI(-143)</v>
      </c>
      <c r="L8" s="76">
        <f>IFERROR(__xludf.DUMMYFUNCTION("""COMPUTED_VALUE"""),6686117.0)</f>
        <v>6686117</v>
      </c>
      <c r="M8" s="76">
        <f>IFERROR(__xludf.DUMMYFUNCTION("""COMPUTED_VALUE"""),-147.0)</f>
        <v>-147</v>
      </c>
      <c r="N8" s="76" t="str">
        <f>IFERROR(__xludf.DUMMYFUNCTION("IFERROR(INDEX(IMPORTRANGE('Referências'!$B$2,""Pilotos!A5:I""),
MATCH(L8,IMPORTRANGE('Referências'!$B$2,""Pilotos!A5:A""),0),
9))"),"CFF")</f>
        <v>CFF</v>
      </c>
      <c r="O8" s="76" t="str">
        <f t="shared" si="3"/>
        <v>CFF(-147)</v>
      </c>
      <c r="P8" s="74"/>
    </row>
    <row r="9">
      <c r="A9" s="74"/>
      <c r="B9" s="76">
        <f>IFERROR(__xludf.DUMMYFUNCTION("""COMPUTED_VALUE"""),6660762.0)</f>
        <v>6660762</v>
      </c>
      <c r="C9" s="76">
        <f>IFERROR(__xludf.DUMMYFUNCTION("""COMPUTED_VALUE"""),-144.0)</f>
        <v>-144</v>
      </c>
      <c r="D9" s="76" t="str">
        <f>IFERROR(__xludf.DUMMYFUNCTION("IFERROR(INDEX(IMPORTRANGE('Referências'!$B$2,""Pilotos!A5:I""),
MATCH(B9,IMPORTRANGE('Referências'!$B$2,""Pilotos!A5:A""),0),
9))"),"HCK")</f>
        <v>HCK</v>
      </c>
      <c r="E9" s="76" t="str">
        <f t="shared" si="1"/>
        <v>HCK(-144)</v>
      </c>
      <c r="G9" s="76">
        <f>IFERROR(__xludf.DUMMYFUNCTION("""COMPUTED_VALUE"""),6571280.0)</f>
        <v>6571280</v>
      </c>
      <c r="H9" s="76">
        <f>IFERROR(__xludf.DUMMYFUNCTION("""COMPUTED_VALUE"""),-486.0)</f>
        <v>-486</v>
      </c>
      <c r="I9" s="76" t="str">
        <f>IFERROR(__xludf.DUMMYFUNCTION("IFERROR(INDEX(IMPORTRANGE('Referências'!$B$2,""Pilotos!A5:I""),
MATCH(G9,IMPORTRANGE('Referências'!$B$2,""Pilotos!A5:A""),0),
9))"),"STS")</f>
        <v>STS</v>
      </c>
      <c r="J9" s="76" t="str">
        <f t="shared" si="2"/>
        <v>STS(-486)</v>
      </c>
      <c r="L9" s="76">
        <f>IFERROR(__xludf.DUMMYFUNCTION("""COMPUTED_VALUE"""),6659675.0)</f>
        <v>6659675</v>
      </c>
      <c r="M9" s="76">
        <f>IFERROR(__xludf.DUMMYFUNCTION("""COMPUTED_VALUE"""),-150.0)</f>
        <v>-150</v>
      </c>
      <c r="N9" s="76" t="str">
        <f>IFERROR(__xludf.DUMMYFUNCTION("IFERROR(INDEX(IMPORTRANGE('Referências'!$B$2,""Pilotos!A5:I""),
MATCH(L9,IMPORTRANGE('Referências'!$B$2,""Pilotos!A5:A""),0),
9))"),"MCH")</f>
        <v>MCH</v>
      </c>
      <c r="O9" s="76" t="str">
        <f t="shared" si="3"/>
        <v>MCH(-150)</v>
      </c>
      <c r="P9" s="74"/>
    </row>
    <row r="10">
      <c r="A10" s="74"/>
      <c r="B10" s="86">
        <f>IFERROR(__xludf.DUMMYFUNCTION("""COMPUTED_VALUE"""),6660797.0)</f>
        <v>6660797</v>
      </c>
      <c r="C10" s="86">
        <f>IFERROR(__xludf.DUMMYFUNCTION("""COMPUTED_VALUE"""),-134.0)</f>
        <v>-134</v>
      </c>
      <c r="D10" s="76" t="str">
        <f>IFERROR(__xludf.DUMMYFUNCTION("IFERROR(INDEX(IMPORTRANGE('Referências'!$B$2,""Pilotos!A5:I""),
MATCH(B10,IMPORTRANGE('Referências'!$B$2,""Pilotos!A5:A""),0),
9))"),"CAR")</f>
        <v>CAR</v>
      </c>
      <c r="E10" s="76" t="str">
        <f t="shared" si="1"/>
        <v>CAR(-134)</v>
      </c>
      <c r="F10" s="87"/>
      <c r="G10" s="86">
        <f>IFERROR(__xludf.DUMMYFUNCTION("""COMPUTED_VALUE"""),6594085.0)</f>
        <v>6594085</v>
      </c>
      <c r="H10" s="86">
        <f>IFERROR(__xludf.DUMMYFUNCTION("""COMPUTED_VALUE"""),-144.0)</f>
        <v>-144</v>
      </c>
      <c r="I10" s="76" t="str">
        <f>IFERROR(__xludf.DUMMYFUNCTION("IFERROR(INDEX(IMPORTRANGE('Referências'!$B$2,""Pilotos!A5:I""),
MATCH(G10,IMPORTRANGE('Referências'!$B$2,""Pilotos!A5:A""),0),
9))"),"LPS")</f>
        <v>LPS</v>
      </c>
      <c r="J10" s="76" t="str">
        <f t="shared" si="2"/>
        <v>LPS(-144)</v>
      </c>
      <c r="K10" s="87"/>
      <c r="L10" s="86">
        <f>IFERROR(__xludf.DUMMYFUNCTION("""COMPUTED_VALUE"""),6807534.0)</f>
        <v>6807534</v>
      </c>
      <c r="M10" s="86">
        <f>IFERROR(__xludf.DUMMYFUNCTION("""COMPUTED_VALUE"""),-304.0)</f>
        <v>-304</v>
      </c>
      <c r="N10" s="76" t="str">
        <f>IFERROR(__xludf.DUMMYFUNCTION("IFERROR(INDEX(IMPORTRANGE('Referências'!$B$2,""Pilotos!A5:I""),
MATCH(L10,IMPORTRANGE('Referências'!$B$2,""Pilotos!A5:A""),0),
9))"),"FER")</f>
        <v>FER</v>
      </c>
      <c r="O10" s="76" t="str">
        <f t="shared" si="3"/>
        <v>FER(-304)</v>
      </c>
      <c r="P10" s="74"/>
    </row>
    <row r="11">
      <c r="A11" s="74"/>
      <c r="B11" s="86">
        <f>IFERROR(__xludf.DUMMYFUNCTION("""COMPUTED_VALUE"""),6734634.0)</f>
        <v>6734634</v>
      </c>
      <c r="C11" s="86">
        <f>IFERROR(__xludf.DUMMYFUNCTION("""COMPUTED_VALUE"""),-144.0)</f>
        <v>-144</v>
      </c>
      <c r="D11" s="76" t="str">
        <f>IFERROR(__xludf.DUMMYFUNCTION("IFERROR(INDEX(IMPORTRANGE('Referências'!$B$2,""Pilotos!A5:I""),
MATCH(B11,IMPORTRANGE('Referências'!$B$2,""Pilotos!A5:A""),0),
9))"),"BRJ")</f>
        <v>BRJ</v>
      </c>
      <c r="E11" s="76" t="str">
        <f t="shared" si="1"/>
        <v>BRJ(-144)</v>
      </c>
      <c r="F11" s="87"/>
      <c r="G11" s="86">
        <f>IFERROR(__xludf.DUMMYFUNCTION("""COMPUTED_VALUE"""),6660088.0)</f>
        <v>6660088</v>
      </c>
      <c r="H11" s="86">
        <f>IFERROR(__xludf.DUMMYFUNCTION("""COMPUTED_VALUE"""),-334.0)</f>
        <v>-334</v>
      </c>
      <c r="I11" s="76" t="str">
        <f>IFERROR(__xludf.DUMMYFUNCTION("IFERROR(INDEX(IMPORTRANGE('Referências'!$B$2,""Pilotos!A5:I""),
MATCH(G11,IMPORTRANGE('Referências'!$B$2,""Pilotos!A5:A""),0),
9))"),"JVT")</f>
        <v>JVT</v>
      </c>
      <c r="J11" s="76" t="str">
        <f t="shared" si="2"/>
        <v>JVT(-334)</v>
      </c>
      <c r="K11" s="87"/>
      <c r="L11" s="86">
        <f>IFERROR(__xludf.DUMMYFUNCTION("""COMPUTED_VALUE"""),6660827.0)</f>
        <v>6660827</v>
      </c>
      <c r="M11" s="86">
        <f>IFERROR(__xludf.DUMMYFUNCTION("""COMPUTED_VALUE"""),-144.0)</f>
        <v>-144</v>
      </c>
      <c r="N11" s="76" t="str">
        <f>IFERROR(__xludf.DUMMYFUNCTION("IFERROR(INDEX(IMPORTRANGE('Referências'!$B$2,""Pilotos!A5:I""),
MATCH(L11,IMPORTRANGE('Referências'!$B$2,""Pilotos!A5:A""),0),
9))"),"CNI")</f>
        <v>CNI</v>
      </c>
      <c r="O11" s="76" t="str">
        <f t="shared" si="3"/>
        <v>CNI(-144)</v>
      </c>
      <c r="P11" s="74"/>
    </row>
    <row r="12">
      <c r="A12" s="74"/>
      <c r="B12" s="86">
        <f>IFERROR(__xludf.DUMMYFUNCTION("""COMPUTED_VALUE"""),7092989.0)</f>
        <v>7092989</v>
      </c>
      <c r="C12" s="86">
        <f>IFERROR(__xludf.DUMMYFUNCTION("""COMPUTED_VALUE"""),-144.0)</f>
        <v>-144</v>
      </c>
      <c r="D12" s="76" t="str">
        <f>IFERROR(__xludf.DUMMYFUNCTION("IFERROR(INDEX(IMPORTRANGE('Referências'!$B$2,""Pilotos!A5:I""),
MATCH(B12,IMPORTRANGE('Referências'!$B$2,""Pilotos!A5:A""),0),
9))"),"BMK")</f>
        <v>BMK</v>
      </c>
      <c r="E12" s="76" t="str">
        <f t="shared" si="1"/>
        <v>BMK(-144)</v>
      </c>
      <c r="F12" s="87"/>
      <c r="G12" s="86">
        <f>IFERROR(__xludf.DUMMYFUNCTION("""COMPUTED_VALUE"""),6660762.0)</f>
        <v>6660762</v>
      </c>
      <c r="H12" s="86">
        <f>IFERROR(__xludf.DUMMYFUNCTION("""COMPUTED_VALUE"""),-346.0)</f>
        <v>-346</v>
      </c>
      <c r="I12" s="76" t="str">
        <f>IFERROR(__xludf.DUMMYFUNCTION("IFERROR(INDEX(IMPORTRANGE('Referências'!$B$2,""Pilotos!A5:I""),
MATCH(G12,IMPORTRANGE('Referências'!$B$2,""Pilotos!A5:A""),0),
9))"),"HCK")</f>
        <v>HCK</v>
      </c>
      <c r="J12" s="76" t="str">
        <f t="shared" si="2"/>
        <v>HCK(-346)</v>
      </c>
      <c r="K12" s="87"/>
      <c r="L12" s="86">
        <f>IFERROR(__xludf.DUMMYFUNCTION("""COMPUTED_VALUE"""),6733891.0)</f>
        <v>6733891</v>
      </c>
      <c r="M12" s="86">
        <f>IFERROR(__xludf.DUMMYFUNCTION("""COMPUTED_VALUE"""),-151.0)</f>
        <v>-151</v>
      </c>
      <c r="N12" s="76" t="str">
        <f>IFERROR(__xludf.DUMMYFUNCTION("IFERROR(INDEX(IMPORTRANGE('Referências'!$B$2,""Pilotos!A5:I""),
MATCH(L12,IMPORTRANGE('Referências'!$B$2,""Pilotos!A5:A""),0),
9))"),"GMS")</f>
        <v>GMS</v>
      </c>
      <c r="O12" s="76" t="str">
        <f t="shared" si="3"/>
        <v>GMS(-151)</v>
      </c>
      <c r="P12" s="74"/>
    </row>
    <row r="13">
      <c r="A13" s="74"/>
      <c r="B13" s="86">
        <f>IFERROR(__xludf.DUMMYFUNCTION("""COMPUTED_VALUE"""),6734251.0)</f>
        <v>6734251</v>
      </c>
      <c r="C13" s="86">
        <f>IFERROR(__xludf.DUMMYFUNCTION("""COMPUTED_VALUE"""),-150.0)</f>
        <v>-150</v>
      </c>
      <c r="D13" s="76" t="str">
        <f>IFERROR(__xludf.DUMMYFUNCTION("IFERROR(INDEX(IMPORTRANGE('Referências'!$B$2,""Pilotos!A5:I""),
MATCH(B13,IMPORTRANGE('Referências'!$B$2,""Pilotos!A5:A""),0),
9))"),"GMR")</f>
        <v>GMR</v>
      </c>
      <c r="E13" s="76" t="str">
        <f t="shared" si="1"/>
        <v>GMR(-150)</v>
      </c>
      <c r="F13" s="87"/>
      <c r="G13" s="86"/>
      <c r="H13" s="86"/>
      <c r="I13" s="76" t="str">
        <f>IFERROR(__xludf.DUMMYFUNCTION("IFERROR(INDEX(IMPORTRANGE('Referências'!$B$2,""Pilotos!A5:I""),
MATCH(G13,IMPORTRANGE('Referências'!$B$2,""Pilotos!A5:A""),0),
9))"),"")</f>
        <v/>
      </c>
      <c r="J13" s="76" t="str">
        <f t="shared" si="2"/>
        <v/>
      </c>
      <c r="K13" s="87"/>
      <c r="L13" s="86">
        <f>IFERROR(__xludf.DUMMYFUNCTION("""COMPUTED_VALUE"""),6743730.0)</f>
        <v>6743730</v>
      </c>
      <c r="M13" s="86">
        <f>IFERROR(__xludf.DUMMYFUNCTION("""COMPUTED_VALUE"""),-155.0)</f>
        <v>-155</v>
      </c>
      <c r="N13" s="76" t="str">
        <f>IFERROR(__xludf.DUMMYFUNCTION("IFERROR(INDEX(IMPORTRANGE('Referências'!$B$2,""Pilotos!A5:I""),
MATCH(L13,IMPORTRANGE('Referências'!$B$2,""Pilotos!A5:A""),0),
9))"),"DOG")</f>
        <v>DOG</v>
      </c>
      <c r="O13" s="76" t="str">
        <f t="shared" si="3"/>
        <v>DOG(-155)</v>
      </c>
      <c r="P13" s="74"/>
    </row>
    <row r="14">
      <c r="A14" s="74"/>
      <c r="B14" s="86">
        <f>IFERROR(__xludf.DUMMYFUNCTION("""COMPUTED_VALUE"""),6812449.0)</f>
        <v>6812449</v>
      </c>
      <c r="C14" s="86">
        <f>IFERROR(__xludf.DUMMYFUNCTION("""COMPUTED_VALUE"""),-144.0)</f>
        <v>-144</v>
      </c>
      <c r="D14" s="76" t="str">
        <f>IFERROR(__xludf.DUMMYFUNCTION("IFERROR(INDEX(IMPORTRANGE('Referências'!$B$2,""Pilotos!A5:I""),
MATCH(B14,IMPORTRANGE('Referências'!$B$2,""Pilotos!A5:A""),0),
9))"),"ISA")</f>
        <v>ISA</v>
      </c>
      <c r="E14" s="76" t="str">
        <f t="shared" si="1"/>
        <v>ISA(-144)</v>
      </c>
      <c r="F14" s="87"/>
      <c r="G14" s="86"/>
      <c r="H14" s="86"/>
      <c r="I14" s="76" t="str">
        <f>IFERROR(__xludf.DUMMYFUNCTION("IFERROR(INDEX(IMPORTRANGE('Referências'!$B$2,""Pilotos!A5:I""),
MATCH(G14,IMPORTRANGE('Referências'!$B$2,""Pilotos!A5:A""),0),
9))"),"")</f>
        <v/>
      </c>
      <c r="J14" s="76" t="str">
        <f t="shared" si="2"/>
        <v/>
      </c>
      <c r="K14" s="87"/>
      <c r="L14" s="86">
        <f>IFERROR(__xludf.DUMMYFUNCTION("""COMPUTED_VALUE"""),6734685.0)</f>
        <v>6734685</v>
      </c>
      <c r="M14" s="86">
        <f>IFERROR(__xludf.DUMMYFUNCTION("""COMPUTED_VALUE"""),-150.0)</f>
        <v>-150</v>
      </c>
      <c r="N14" s="76" t="str">
        <f>IFERROR(__xludf.DUMMYFUNCTION("IFERROR(INDEX(IMPORTRANGE('Referências'!$B$2,""Pilotos!A5:I""),
MATCH(L14,IMPORTRANGE('Referências'!$B$2,""Pilotos!A5:A""),0),
9))"),"SUG")</f>
        <v>SUG</v>
      </c>
      <c r="O14" s="76" t="str">
        <f t="shared" si="3"/>
        <v>SUG(-150)</v>
      </c>
      <c r="P14" s="74"/>
    </row>
    <row r="15">
      <c r="A15" s="74"/>
      <c r="B15" s="86">
        <f>IFERROR(__xludf.DUMMYFUNCTION("""COMPUTED_VALUE"""),6813631.0)</f>
        <v>6813631</v>
      </c>
      <c r="C15" s="86">
        <f>IFERROR(__xludf.DUMMYFUNCTION("""COMPUTED_VALUE"""),-143.0)</f>
        <v>-143</v>
      </c>
      <c r="D15" s="76" t="str">
        <f>IFERROR(__xludf.DUMMYFUNCTION("IFERROR(INDEX(IMPORTRANGE('Referências'!$B$2,""Pilotos!A5:I""),
MATCH(B15,IMPORTRANGE('Referências'!$B$2,""Pilotos!A5:A""),0),
9))"),"KVN")</f>
        <v>KVN</v>
      </c>
      <c r="E15" s="76" t="str">
        <f t="shared" si="1"/>
        <v>KVN(-143)</v>
      </c>
      <c r="F15" s="87"/>
      <c r="G15" s="86"/>
      <c r="H15" s="86"/>
      <c r="I15" s="76" t="str">
        <f>IFERROR(__xludf.DUMMYFUNCTION("IFERROR(INDEX(IMPORTRANGE('Referências'!$B$2,""Pilotos!A5:I""),
MATCH(G15,IMPORTRANGE('Referências'!$B$2,""Pilotos!A5:A""),0),
9))"),"")</f>
        <v/>
      </c>
      <c r="J15" s="76" t="str">
        <f t="shared" si="2"/>
        <v/>
      </c>
      <c r="K15" s="87"/>
      <c r="L15" s="86">
        <f>IFERROR(__xludf.DUMMYFUNCTION("""COMPUTED_VALUE"""),6813488.0)</f>
        <v>6813488</v>
      </c>
      <c r="M15" s="86">
        <f>IFERROR(__xludf.DUMMYFUNCTION("""COMPUTED_VALUE"""),-414.0)</f>
        <v>-414</v>
      </c>
      <c r="N15" s="76" t="str">
        <f>IFERROR(__xludf.DUMMYFUNCTION("IFERROR(INDEX(IMPORTRANGE('Referências'!$B$2,""Pilotos!A5:I""),
MATCH(L15,IMPORTRANGE('Referências'!$B$2,""Pilotos!A5:A""),0),
9))"),"LOU")</f>
        <v>LOU</v>
      </c>
      <c r="O15" s="76" t="str">
        <f t="shared" si="3"/>
        <v>LOU(-414)</v>
      </c>
      <c r="P15" s="74"/>
    </row>
    <row r="16">
      <c r="A16" s="74"/>
      <c r="B16" s="86"/>
      <c r="C16" s="86"/>
      <c r="D16" s="76" t="str">
        <f>IFERROR(__xludf.DUMMYFUNCTION("IFERROR(INDEX(IMPORTRANGE('Referências'!$B$2,""Pilotos!A5:I""),
MATCH(B16,IMPORTRANGE('Referências'!$B$2,""Pilotos!A5:A""),0),
9))"),"")</f>
        <v/>
      </c>
      <c r="E16" s="76" t="str">
        <f t="shared" si="1"/>
        <v/>
      </c>
      <c r="F16" s="87"/>
      <c r="G16" s="86"/>
      <c r="H16" s="86"/>
      <c r="I16" s="76" t="str">
        <f>IFERROR(__xludf.DUMMYFUNCTION("IFERROR(INDEX(IMPORTRANGE('Referências'!$B$2,""Pilotos!A5:I""),
MATCH(G16,IMPORTRANGE('Referências'!$B$2,""Pilotos!A5:A""),0),
9))"),"")</f>
        <v/>
      </c>
      <c r="J16" s="76" t="str">
        <f t="shared" si="2"/>
        <v/>
      </c>
      <c r="K16" s="87"/>
      <c r="L16" s="86">
        <f>IFERROR(__xludf.DUMMYFUNCTION("""COMPUTED_VALUE"""),6813330.0)</f>
        <v>6813330</v>
      </c>
      <c r="M16" s="86">
        <f>IFERROR(__xludf.DUMMYFUNCTION("""COMPUTED_VALUE"""),-167.0)</f>
        <v>-167</v>
      </c>
      <c r="N16" s="76" t="str">
        <f>IFERROR(__xludf.DUMMYFUNCTION("IFERROR(INDEX(IMPORTRANGE('Referências'!$B$2,""Pilotos!A5:I""),
MATCH(L16,IMPORTRANGE('Referências'!$B$2,""Pilotos!A5:A""),0),
9))"),"LRS")</f>
        <v>LRS</v>
      </c>
      <c r="O16" s="81"/>
      <c r="P16" s="74"/>
    </row>
    <row r="17">
      <c r="A17" s="74"/>
      <c r="B17" s="86"/>
      <c r="C17" s="86"/>
      <c r="D17" s="76" t="str">
        <f>IFERROR(__xludf.DUMMYFUNCTION("IFERROR(INDEX(IMPORTRANGE('Referências'!$B$2,""Pilotos!A5:I""),
MATCH(B17,IMPORTRANGE('Referências'!$B$2,""Pilotos!A5:A""),0),
9))"),"")</f>
        <v/>
      </c>
      <c r="E17" s="76" t="str">
        <f t="shared" si="1"/>
        <v/>
      </c>
      <c r="F17" s="87"/>
      <c r="G17" s="86"/>
      <c r="H17" s="86"/>
      <c r="I17" s="76" t="str">
        <f>IFERROR(__xludf.DUMMYFUNCTION("IFERROR(INDEX(IMPORTRANGE('Referências'!$B$2,""Pilotos!A5:I""),
MATCH(G17,IMPORTRANGE('Referências'!$B$2,""Pilotos!A5:A""),0),
9))"),"")</f>
        <v/>
      </c>
      <c r="J17" s="76" t="str">
        <f t="shared" si="2"/>
        <v/>
      </c>
      <c r="K17" s="87"/>
      <c r="L17" s="86">
        <f>IFERROR(__xludf.DUMMYFUNCTION("""COMPUTED_VALUE"""),7284632.0)</f>
        <v>7284632</v>
      </c>
      <c r="M17" s="86">
        <f>IFERROR(__xludf.DUMMYFUNCTION("""COMPUTED_VALUE"""),-153.0)</f>
        <v>-153</v>
      </c>
      <c r="N17" s="76" t="str">
        <f>IFERROR(__xludf.DUMMYFUNCTION("IFERROR(INDEX(IMPORTRANGE('Referências'!$B$2,""Pilotos!A5:I""),
MATCH(L17,IMPORTRANGE('Referências'!$B$2,""Pilotos!A5:A""),0),
9))"),"PFR")</f>
        <v>PFR</v>
      </c>
      <c r="O17" s="81"/>
      <c r="P17" s="74"/>
    </row>
    <row r="18">
      <c r="A18" s="74"/>
      <c r="B18" s="81"/>
      <c r="C18" s="81"/>
      <c r="D18" s="81"/>
      <c r="E18" s="81"/>
      <c r="F18" s="74"/>
      <c r="G18" s="81"/>
      <c r="H18" s="81"/>
      <c r="I18" s="81"/>
      <c r="J18" s="81"/>
      <c r="K18" s="74"/>
      <c r="L18" s="81">
        <f>IFERROR(__xludf.DUMMYFUNCTION("""COMPUTED_VALUE"""),6812481.0)</f>
        <v>6812481</v>
      </c>
      <c r="M18" s="81">
        <f>IFERROR(__xludf.DUMMYFUNCTION("""COMPUTED_VALUE"""),-150.0)</f>
        <v>-150</v>
      </c>
      <c r="N18" s="81"/>
      <c r="O18" s="81"/>
      <c r="P18" s="74"/>
    </row>
    <row r="19">
      <c r="A19" s="74"/>
      <c r="B19" s="81"/>
      <c r="C19" s="81"/>
      <c r="D19" s="81"/>
      <c r="E19" s="81"/>
      <c r="F19" s="74"/>
      <c r="G19" s="81"/>
      <c r="H19" s="81"/>
      <c r="I19" s="81"/>
      <c r="J19" s="81"/>
      <c r="K19" s="74"/>
      <c r="L19" s="81">
        <f>IFERROR(__xludf.DUMMYFUNCTION("""COMPUTED_VALUE"""),6813364.0)</f>
        <v>6813364</v>
      </c>
      <c r="M19" s="81">
        <f>IFERROR(__xludf.DUMMYFUNCTION("""COMPUTED_VALUE"""),-157.0)</f>
        <v>-157</v>
      </c>
      <c r="N19" s="81"/>
      <c r="O19" s="81"/>
      <c r="P19" s="74"/>
    </row>
    <row r="20">
      <c r="A20" s="74"/>
      <c r="B20" s="81"/>
      <c r="C20" s="81"/>
      <c r="D20" s="81"/>
      <c r="E20" s="81"/>
      <c r="F20" s="74"/>
      <c r="G20" s="81"/>
      <c r="H20" s="81"/>
      <c r="I20" s="81"/>
      <c r="J20" s="81"/>
      <c r="K20" s="74"/>
      <c r="L20" s="81">
        <f>IFERROR(__xludf.DUMMYFUNCTION("""COMPUTED_VALUE"""),3822265.0)</f>
        <v>3822265</v>
      </c>
      <c r="M20" s="81">
        <f>IFERROR(__xludf.DUMMYFUNCTION("""COMPUTED_VALUE"""),-333.0)</f>
        <v>-333</v>
      </c>
      <c r="N20" s="81"/>
      <c r="O20" s="81"/>
      <c r="P20" s="74"/>
    </row>
    <row r="21">
      <c r="A21" s="74"/>
      <c r="B21" s="81"/>
      <c r="C21" s="81"/>
      <c r="D21" s="81"/>
      <c r="E21" s="81"/>
      <c r="F21" s="74"/>
      <c r="G21" s="81"/>
      <c r="H21" s="81"/>
      <c r="I21" s="81"/>
      <c r="J21" s="81"/>
      <c r="K21" s="74"/>
      <c r="L21" s="81">
        <f>IFERROR(__xludf.DUMMYFUNCTION("""COMPUTED_VALUE"""),6284809.0)</f>
        <v>6284809</v>
      </c>
      <c r="M21" s="81">
        <f>IFERROR(__xludf.DUMMYFUNCTION("""COMPUTED_VALUE"""),-151.0)</f>
        <v>-151</v>
      </c>
      <c r="N21" s="81"/>
      <c r="O21" s="81"/>
      <c r="P21" s="74"/>
    </row>
    <row r="22">
      <c r="A22" s="74"/>
      <c r="B22" s="81"/>
      <c r="C22" s="81"/>
      <c r="D22" s="81"/>
      <c r="E22" s="81"/>
      <c r="F22" s="74"/>
      <c r="G22" s="81"/>
      <c r="H22" s="81"/>
      <c r="I22" s="81"/>
      <c r="J22" s="81"/>
      <c r="K22" s="74"/>
      <c r="L22" s="81"/>
      <c r="M22" s="81"/>
      <c r="N22" s="81"/>
      <c r="O22" s="81"/>
      <c r="P22" s="74"/>
    </row>
    <row r="23">
      <c r="A23" s="74"/>
      <c r="B23" s="81"/>
      <c r="C23" s="81"/>
      <c r="D23" s="81"/>
      <c r="E23" s="81"/>
      <c r="F23" s="74"/>
      <c r="G23" s="81"/>
      <c r="H23" s="81"/>
      <c r="I23" s="81"/>
      <c r="J23" s="81"/>
      <c r="K23" s="74"/>
      <c r="L23" s="81"/>
      <c r="M23" s="81"/>
      <c r="N23" s="81"/>
      <c r="O23" s="81"/>
      <c r="P23" s="74"/>
    </row>
    <row r="24">
      <c r="A24" s="74"/>
      <c r="B24" s="81"/>
      <c r="C24" s="81"/>
      <c r="D24" s="81"/>
      <c r="E24" s="81"/>
      <c r="F24" s="74"/>
      <c r="G24" s="81"/>
      <c r="H24" s="81"/>
      <c r="I24" s="81"/>
      <c r="J24" s="81"/>
      <c r="K24" s="74"/>
      <c r="L24" s="81"/>
      <c r="M24" s="81"/>
      <c r="N24" s="81"/>
      <c r="O24" s="81"/>
      <c r="P24" s="74"/>
    </row>
    <row r="25">
      <c r="A25" s="74"/>
      <c r="B25" s="81"/>
      <c r="C25" s="81"/>
      <c r="D25" s="81"/>
      <c r="E25" s="81"/>
      <c r="F25" s="74"/>
      <c r="G25" s="81"/>
      <c r="H25" s="81"/>
      <c r="I25" s="81"/>
      <c r="J25" s="81"/>
      <c r="K25" s="74"/>
      <c r="L25" s="81"/>
      <c r="M25" s="81"/>
      <c r="N25" s="81"/>
      <c r="O25" s="81"/>
      <c r="P25" s="74"/>
    </row>
    <row r="26">
      <c r="A26" s="74"/>
      <c r="B26" s="81"/>
      <c r="C26" s="81"/>
      <c r="D26" s="81"/>
      <c r="E26" s="81"/>
      <c r="F26" s="74"/>
      <c r="G26" s="81"/>
      <c r="H26" s="81"/>
      <c r="I26" s="81"/>
      <c r="J26" s="81"/>
      <c r="K26" s="74"/>
      <c r="L26" s="81"/>
      <c r="M26" s="81"/>
      <c r="N26" s="81"/>
      <c r="O26" s="81"/>
      <c r="P26" s="74"/>
    </row>
    <row r="27">
      <c r="A27" s="74"/>
      <c r="B27" s="81"/>
      <c r="C27" s="81"/>
      <c r="D27" s="81"/>
      <c r="E27" s="81"/>
      <c r="F27" s="74"/>
      <c r="G27" s="81"/>
      <c r="H27" s="81"/>
      <c r="I27" s="81"/>
      <c r="J27" s="81"/>
      <c r="K27" s="74"/>
      <c r="L27" s="81"/>
      <c r="M27" s="81"/>
      <c r="N27" s="81"/>
      <c r="O27" s="81"/>
      <c r="P27" s="74"/>
    </row>
    <row r="28">
      <c r="A28" s="74"/>
      <c r="B28" s="81"/>
      <c r="C28" s="81"/>
      <c r="D28" s="81"/>
      <c r="E28" s="81"/>
      <c r="F28" s="74"/>
      <c r="G28" s="81"/>
      <c r="H28" s="81"/>
      <c r="I28" s="81"/>
      <c r="J28" s="81"/>
      <c r="K28" s="74"/>
      <c r="L28" s="81"/>
      <c r="M28" s="81"/>
      <c r="N28" s="81"/>
      <c r="O28" s="81"/>
      <c r="P28" s="74"/>
    </row>
    <row r="29">
      <c r="A29" s="74"/>
      <c r="B29" s="81"/>
      <c r="C29" s="81"/>
      <c r="D29" s="81"/>
      <c r="E29" s="81"/>
      <c r="F29" s="74"/>
      <c r="G29" s="81"/>
      <c r="H29" s="81"/>
      <c r="I29" s="81"/>
      <c r="J29" s="81"/>
      <c r="K29" s="74"/>
      <c r="L29" s="81"/>
      <c r="M29" s="81"/>
      <c r="N29" s="81"/>
      <c r="O29" s="81"/>
      <c r="P29" s="74"/>
    </row>
    <row r="30">
      <c r="A30" s="74"/>
      <c r="B30" s="81"/>
      <c r="C30" s="81"/>
      <c r="D30" s="81"/>
      <c r="E30" s="81"/>
      <c r="F30" s="74"/>
      <c r="G30" s="81"/>
      <c r="H30" s="81"/>
      <c r="I30" s="81"/>
      <c r="J30" s="81"/>
      <c r="K30" s="74"/>
      <c r="L30" s="81"/>
      <c r="M30" s="81"/>
      <c r="N30" s="81"/>
      <c r="O30" s="81"/>
      <c r="P30" s="74"/>
    </row>
    <row r="31">
      <c r="A31" s="74"/>
      <c r="B31" s="81"/>
      <c r="C31" s="81"/>
      <c r="D31" s="81"/>
      <c r="E31" s="81"/>
      <c r="F31" s="74"/>
      <c r="G31" s="81"/>
      <c r="H31" s="81"/>
      <c r="I31" s="81"/>
      <c r="J31" s="81"/>
      <c r="K31" s="74"/>
      <c r="L31" s="81"/>
      <c r="M31" s="81"/>
      <c r="N31" s="81"/>
      <c r="O31" s="81"/>
      <c r="P31" s="74"/>
    </row>
    <row r="32">
      <c r="A32" s="74"/>
      <c r="B32" s="81"/>
      <c r="C32" s="81"/>
      <c r="D32" s="81"/>
      <c r="E32" s="81"/>
      <c r="F32" s="74"/>
      <c r="G32" s="81"/>
      <c r="H32" s="81"/>
      <c r="I32" s="81"/>
      <c r="J32" s="81"/>
      <c r="K32" s="74"/>
      <c r="L32" s="81"/>
      <c r="M32" s="81"/>
      <c r="N32" s="81"/>
      <c r="O32" s="81"/>
      <c r="P32" s="74"/>
    </row>
    <row r="33">
      <c r="A33" s="74"/>
      <c r="B33" s="81"/>
      <c r="C33" s="81"/>
      <c r="D33" s="81"/>
      <c r="E33" s="81"/>
      <c r="F33" s="74"/>
      <c r="G33" s="81"/>
      <c r="H33" s="81"/>
      <c r="I33" s="81"/>
      <c r="J33" s="81"/>
      <c r="K33" s="74"/>
      <c r="L33" s="81"/>
      <c r="M33" s="81"/>
      <c r="N33" s="81"/>
      <c r="O33" s="81"/>
      <c r="P33" s="74"/>
    </row>
    <row r="34">
      <c r="A34" s="74"/>
      <c r="B34" s="81"/>
      <c r="C34" s="81"/>
      <c r="D34" s="81"/>
      <c r="E34" s="81"/>
      <c r="F34" s="74"/>
      <c r="G34" s="81"/>
      <c r="H34" s="81"/>
      <c r="I34" s="81"/>
      <c r="J34" s="81"/>
      <c r="K34" s="74"/>
      <c r="L34" s="81"/>
      <c r="M34" s="81"/>
      <c r="N34" s="81"/>
      <c r="O34" s="81"/>
      <c r="P34" s="74"/>
    </row>
    <row r="35">
      <c r="A35" s="74"/>
      <c r="B35" s="81"/>
      <c r="C35" s="81"/>
      <c r="D35" s="81"/>
      <c r="E35" s="81"/>
      <c r="F35" s="74"/>
      <c r="G35" s="81"/>
      <c r="H35" s="81"/>
      <c r="I35" s="81"/>
      <c r="J35" s="81"/>
      <c r="K35" s="74"/>
      <c r="L35" s="81"/>
      <c r="M35" s="81"/>
      <c r="N35" s="81"/>
      <c r="O35" s="81"/>
      <c r="P35" s="74"/>
    </row>
    <row r="36">
      <c r="A36" s="74"/>
      <c r="B36" s="81"/>
      <c r="C36" s="81"/>
      <c r="D36" s="81"/>
      <c r="E36" s="81"/>
      <c r="F36" s="74"/>
      <c r="G36" s="81"/>
      <c r="H36" s="81"/>
      <c r="I36" s="81"/>
      <c r="J36" s="81"/>
      <c r="K36" s="74"/>
      <c r="L36" s="81"/>
      <c r="M36" s="81"/>
      <c r="N36" s="81"/>
      <c r="O36" s="81"/>
      <c r="P36" s="74"/>
    </row>
    <row r="37">
      <c r="A37" s="74"/>
      <c r="B37" s="81"/>
      <c r="C37" s="81"/>
      <c r="D37" s="81"/>
      <c r="E37" s="81"/>
      <c r="F37" s="74"/>
      <c r="G37" s="81"/>
      <c r="H37" s="81"/>
      <c r="I37" s="81"/>
      <c r="J37" s="81"/>
      <c r="K37" s="74"/>
      <c r="L37" s="81"/>
      <c r="M37" s="81"/>
      <c r="N37" s="81"/>
      <c r="O37" s="81"/>
      <c r="P37" s="74"/>
    </row>
    <row r="38">
      <c r="A38" s="74"/>
      <c r="B38" s="81"/>
      <c r="C38" s="81"/>
      <c r="D38" s="81"/>
      <c r="E38" s="81"/>
      <c r="F38" s="74"/>
      <c r="G38" s="81"/>
      <c r="H38" s="81"/>
      <c r="I38" s="81"/>
      <c r="J38" s="81"/>
      <c r="K38" s="74"/>
      <c r="L38" s="81"/>
      <c r="M38" s="81"/>
      <c r="N38" s="81"/>
      <c r="O38" s="81"/>
      <c r="P38" s="74"/>
    </row>
    <row r="39">
      <c r="A39" s="74"/>
      <c r="B39" s="81"/>
      <c r="C39" s="81"/>
      <c r="D39" s="81"/>
      <c r="E39" s="81"/>
      <c r="F39" s="74"/>
      <c r="G39" s="81"/>
      <c r="H39" s="81"/>
      <c r="I39" s="81"/>
      <c r="J39" s="81"/>
      <c r="K39" s="74"/>
      <c r="L39" s="81"/>
      <c r="M39" s="81"/>
      <c r="N39" s="81"/>
      <c r="O39" s="81"/>
      <c r="P39" s="74"/>
    </row>
    <row r="40">
      <c r="A40" s="74"/>
      <c r="B40" s="81"/>
      <c r="C40" s="81"/>
      <c r="D40" s="81"/>
      <c r="E40" s="81"/>
      <c r="F40" s="74"/>
      <c r="G40" s="81"/>
      <c r="H40" s="81"/>
      <c r="I40" s="81"/>
      <c r="J40" s="81"/>
      <c r="K40" s="74"/>
      <c r="L40" s="81"/>
      <c r="M40" s="81"/>
      <c r="N40" s="81"/>
      <c r="O40" s="81"/>
      <c r="P40" s="74"/>
    </row>
    <row r="41">
      <c r="A41" s="74"/>
      <c r="B41" s="81"/>
      <c r="C41" s="81"/>
      <c r="D41" s="81"/>
      <c r="E41" s="81"/>
      <c r="F41" s="74"/>
      <c r="G41" s="81"/>
      <c r="H41" s="81"/>
      <c r="I41" s="81"/>
      <c r="J41" s="81"/>
      <c r="K41" s="74"/>
      <c r="L41" s="81"/>
      <c r="M41" s="81"/>
      <c r="N41" s="81"/>
      <c r="O41" s="81"/>
      <c r="P41" s="74"/>
    </row>
    <row r="42">
      <c r="A42" s="74"/>
      <c r="B42" s="81"/>
      <c r="C42" s="81"/>
      <c r="D42" s="81"/>
      <c r="E42" s="81"/>
      <c r="F42" s="74"/>
      <c r="G42" s="81"/>
      <c r="H42" s="81"/>
      <c r="I42" s="81"/>
      <c r="J42" s="81"/>
      <c r="K42" s="74"/>
      <c r="L42" s="81"/>
      <c r="M42" s="81"/>
      <c r="N42" s="81"/>
      <c r="O42" s="81"/>
      <c r="P42" s="74"/>
    </row>
    <row r="43">
      <c r="A43" s="74"/>
      <c r="B43" s="81"/>
      <c r="C43" s="81"/>
      <c r="D43" s="81"/>
      <c r="E43" s="81"/>
      <c r="F43" s="74"/>
      <c r="G43" s="81"/>
      <c r="H43" s="81"/>
      <c r="I43" s="81"/>
      <c r="J43" s="81"/>
      <c r="K43" s="74"/>
      <c r="L43" s="81"/>
      <c r="M43" s="81"/>
      <c r="N43" s="81"/>
      <c r="O43" s="81"/>
      <c r="P43" s="74"/>
    </row>
    <row r="44">
      <c r="A44" s="74"/>
      <c r="B44" s="81"/>
      <c r="C44" s="81"/>
      <c r="D44" s="81"/>
      <c r="E44" s="81"/>
      <c r="F44" s="74"/>
      <c r="G44" s="81"/>
      <c r="H44" s="81"/>
      <c r="I44" s="81"/>
      <c r="J44" s="81"/>
      <c r="K44" s="74"/>
      <c r="L44" s="81"/>
      <c r="M44" s="81"/>
      <c r="N44" s="81"/>
      <c r="O44" s="81"/>
      <c r="P44" s="74"/>
    </row>
    <row r="45">
      <c r="A45" s="74"/>
      <c r="B45" s="81"/>
      <c r="C45" s="81"/>
      <c r="D45" s="81"/>
      <c r="E45" s="81"/>
      <c r="F45" s="74"/>
      <c r="G45" s="81"/>
      <c r="H45" s="81"/>
      <c r="I45" s="81"/>
      <c r="J45" s="81"/>
      <c r="K45" s="74"/>
      <c r="L45" s="81"/>
      <c r="M45" s="81"/>
      <c r="N45" s="81"/>
      <c r="O45" s="81"/>
      <c r="P45" s="74"/>
    </row>
    <row r="46">
      <c r="A46" s="74"/>
      <c r="B46" s="81"/>
      <c r="C46" s="81"/>
      <c r="D46" s="81"/>
      <c r="E46" s="81"/>
      <c r="F46" s="74"/>
      <c r="G46" s="81"/>
      <c r="H46" s="81"/>
      <c r="I46" s="81"/>
      <c r="J46" s="81"/>
      <c r="K46" s="74"/>
      <c r="L46" s="81"/>
      <c r="M46" s="81"/>
      <c r="N46" s="81"/>
      <c r="O46" s="81"/>
      <c r="P46" s="74"/>
    </row>
    <row r="47">
      <c r="A47" s="74"/>
      <c r="B47" s="81"/>
      <c r="C47" s="81"/>
      <c r="D47" s="81"/>
      <c r="E47" s="81"/>
      <c r="F47" s="74"/>
      <c r="G47" s="81"/>
      <c r="H47" s="81"/>
      <c r="I47" s="81"/>
      <c r="J47" s="81"/>
      <c r="K47" s="74"/>
      <c r="L47" s="81"/>
      <c r="M47" s="81"/>
      <c r="N47" s="81"/>
      <c r="O47" s="81"/>
      <c r="P47" s="74"/>
    </row>
    <row r="48">
      <c r="A48" s="74"/>
      <c r="B48" s="81"/>
      <c r="C48" s="81"/>
      <c r="D48" s="81"/>
      <c r="E48" s="81"/>
      <c r="F48" s="74"/>
      <c r="G48" s="81"/>
      <c r="H48" s="81"/>
      <c r="I48" s="81"/>
      <c r="J48" s="81"/>
      <c r="K48" s="74"/>
      <c r="L48" s="81"/>
      <c r="M48" s="81"/>
      <c r="N48" s="81"/>
      <c r="O48" s="81"/>
      <c r="P48" s="74"/>
    </row>
    <row r="49">
      <c r="A49" s="74"/>
      <c r="B49" s="81"/>
      <c r="C49" s="81"/>
      <c r="D49" s="81"/>
      <c r="E49" s="81"/>
      <c r="F49" s="74"/>
      <c r="G49" s="81"/>
      <c r="H49" s="81"/>
      <c r="I49" s="81"/>
      <c r="J49" s="81"/>
      <c r="K49" s="74"/>
      <c r="L49" s="81"/>
      <c r="M49" s="81"/>
      <c r="N49" s="81"/>
      <c r="O49" s="81"/>
      <c r="P49" s="74"/>
    </row>
    <row r="50">
      <c r="A50" s="74"/>
      <c r="B50" s="81"/>
      <c r="C50" s="81"/>
      <c r="D50" s="81"/>
      <c r="E50" s="81"/>
      <c r="F50" s="74"/>
      <c r="G50" s="81"/>
      <c r="H50" s="81"/>
      <c r="I50" s="81"/>
      <c r="J50" s="81"/>
      <c r="K50" s="74"/>
      <c r="L50" s="81"/>
      <c r="M50" s="81"/>
      <c r="N50" s="81"/>
      <c r="O50" s="81"/>
      <c r="P50" s="74"/>
    </row>
    <row r="51">
      <c r="A51" s="74"/>
      <c r="B51" s="81"/>
      <c r="C51" s="81"/>
      <c r="D51" s="81"/>
      <c r="E51" s="81"/>
      <c r="F51" s="74"/>
      <c r="G51" s="81"/>
      <c r="H51" s="81"/>
      <c r="I51" s="81"/>
      <c r="J51" s="81"/>
      <c r="K51" s="74"/>
      <c r="L51" s="81"/>
      <c r="M51" s="81"/>
      <c r="N51" s="81"/>
      <c r="O51" s="81"/>
      <c r="P51" s="74"/>
    </row>
    <row r="52">
      <c r="A52" s="74"/>
      <c r="B52" s="81"/>
      <c r="C52" s="81"/>
      <c r="D52" s="81"/>
      <c r="E52" s="81"/>
      <c r="F52" s="74"/>
      <c r="G52" s="81"/>
      <c r="H52" s="81"/>
      <c r="I52" s="81"/>
      <c r="J52" s="81"/>
      <c r="K52" s="74"/>
      <c r="L52" s="81"/>
      <c r="M52" s="81"/>
      <c r="N52" s="81"/>
      <c r="O52" s="81"/>
      <c r="P52" s="74"/>
    </row>
    <row r="53">
      <c r="A53" s="74"/>
      <c r="B53" s="81"/>
      <c r="C53" s="81"/>
      <c r="D53" s="81"/>
      <c r="E53" s="81"/>
      <c r="F53" s="74"/>
      <c r="G53" s="81"/>
      <c r="H53" s="81"/>
      <c r="I53" s="81"/>
      <c r="J53" s="81"/>
      <c r="K53" s="74"/>
      <c r="L53" s="81"/>
      <c r="M53" s="81"/>
      <c r="N53" s="81"/>
      <c r="O53" s="81"/>
      <c r="P53" s="74"/>
    </row>
    <row r="54">
      <c r="A54" s="74"/>
      <c r="B54" s="81"/>
      <c r="C54" s="81"/>
      <c r="D54" s="81"/>
      <c r="E54" s="81"/>
      <c r="F54" s="74"/>
      <c r="G54" s="81"/>
      <c r="H54" s="81"/>
      <c r="I54" s="81"/>
      <c r="J54" s="81"/>
      <c r="K54" s="74"/>
      <c r="L54" s="81"/>
      <c r="M54" s="81"/>
      <c r="N54" s="81"/>
      <c r="O54" s="81"/>
      <c r="P54" s="74"/>
    </row>
    <row r="55">
      <c r="A55" s="74"/>
      <c r="B55" s="81"/>
      <c r="C55" s="81"/>
      <c r="D55" s="81"/>
      <c r="E55" s="81"/>
      <c r="F55" s="74"/>
      <c r="G55" s="81"/>
      <c r="H55" s="81"/>
      <c r="I55" s="81"/>
      <c r="J55" s="81"/>
      <c r="K55" s="74"/>
      <c r="L55" s="81"/>
      <c r="M55" s="81"/>
      <c r="N55" s="81"/>
      <c r="O55" s="81"/>
      <c r="P55" s="74"/>
    </row>
    <row r="56">
      <c r="A56" s="74"/>
      <c r="B56" s="81"/>
      <c r="C56" s="81"/>
      <c r="D56" s="81"/>
      <c r="E56" s="81"/>
      <c r="F56" s="74"/>
      <c r="G56" s="81"/>
      <c r="H56" s="81"/>
      <c r="I56" s="81"/>
      <c r="J56" s="81"/>
      <c r="K56" s="74"/>
      <c r="L56" s="81"/>
      <c r="M56" s="81"/>
      <c r="N56" s="81"/>
      <c r="O56" s="81"/>
      <c r="P56" s="74"/>
    </row>
    <row r="57">
      <c r="A57" s="74"/>
      <c r="B57" s="81"/>
      <c r="C57" s="81"/>
      <c r="D57" s="81"/>
      <c r="E57" s="81"/>
      <c r="F57" s="74"/>
      <c r="G57" s="81"/>
      <c r="H57" s="81"/>
      <c r="I57" s="81"/>
      <c r="J57" s="81"/>
      <c r="K57" s="74"/>
      <c r="L57" s="81"/>
      <c r="M57" s="81"/>
      <c r="N57" s="81"/>
      <c r="O57" s="81"/>
      <c r="P57" s="74"/>
    </row>
    <row r="58">
      <c r="A58" s="74"/>
      <c r="B58" s="81"/>
      <c r="C58" s="81"/>
      <c r="D58" s="81"/>
      <c r="E58" s="81"/>
      <c r="F58" s="74"/>
      <c r="G58" s="81"/>
      <c r="H58" s="81"/>
      <c r="I58" s="81"/>
      <c r="J58" s="81"/>
      <c r="K58" s="74"/>
      <c r="L58" s="81"/>
      <c r="M58" s="81"/>
      <c r="N58" s="81"/>
      <c r="O58" s="81"/>
      <c r="P58" s="74"/>
    </row>
    <row r="59">
      <c r="A59" s="74"/>
      <c r="B59" s="81"/>
      <c r="C59" s="81"/>
      <c r="D59" s="81"/>
      <c r="E59" s="81"/>
      <c r="F59" s="74"/>
      <c r="G59" s="81"/>
      <c r="H59" s="81"/>
      <c r="I59" s="81"/>
      <c r="J59" s="81"/>
      <c r="K59" s="74"/>
      <c r="L59" s="81"/>
      <c r="M59" s="81"/>
      <c r="N59" s="81"/>
      <c r="O59" s="81"/>
      <c r="P59" s="74"/>
    </row>
    <row r="60">
      <c r="A60" s="74"/>
      <c r="B60" s="81"/>
      <c r="C60" s="81"/>
      <c r="D60" s="81"/>
      <c r="E60" s="81"/>
      <c r="F60" s="74"/>
      <c r="G60" s="81"/>
      <c r="H60" s="81"/>
      <c r="I60" s="81"/>
      <c r="J60" s="81"/>
      <c r="K60" s="74"/>
      <c r="L60" s="81"/>
      <c r="M60" s="81"/>
      <c r="N60" s="81"/>
      <c r="O60" s="81"/>
      <c r="P60" s="74"/>
    </row>
    <row r="61">
      <c r="A61" s="74"/>
      <c r="B61" s="81"/>
      <c r="C61" s="81"/>
      <c r="D61" s="81"/>
      <c r="E61" s="81"/>
      <c r="F61" s="74"/>
      <c r="G61" s="81"/>
      <c r="H61" s="81"/>
      <c r="I61" s="81"/>
      <c r="J61" s="81"/>
      <c r="K61" s="74"/>
      <c r="L61" s="81"/>
      <c r="M61" s="81"/>
      <c r="N61" s="81"/>
      <c r="O61" s="81"/>
      <c r="P61" s="74"/>
    </row>
    <row r="62">
      <c r="A62" s="74"/>
      <c r="B62" s="81"/>
      <c r="C62" s="81"/>
      <c r="D62" s="81"/>
      <c r="E62" s="81"/>
      <c r="F62" s="74"/>
      <c r="G62" s="81"/>
      <c r="H62" s="81"/>
      <c r="I62" s="81"/>
      <c r="J62" s="81"/>
      <c r="K62" s="74"/>
      <c r="L62" s="81"/>
      <c r="M62" s="81"/>
      <c r="N62" s="81"/>
      <c r="O62" s="81"/>
      <c r="P62" s="74"/>
    </row>
    <row r="63">
      <c r="A63" s="74"/>
      <c r="B63" s="81"/>
      <c r="C63" s="81"/>
      <c r="D63" s="81"/>
      <c r="E63" s="81"/>
      <c r="F63" s="74"/>
      <c r="G63" s="81"/>
      <c r="H63" s="81"/>
      <c r="I63" s="81"/>
      <c r="J63" s="81"/>
      <c r="K63" s="74"/>
      <c r="L63" s="81"/>
      <c r="M63" s="81"/>
      <c r="N63" s="81"/>
      <c r="O63" s="81"/>
      <c r="P63" s="74"/>
    </row>
    <row r="64">
      <c r="A64" s="74"/>
      <c r="B64" s="81"/>
      <c r="C64" s="81"/>
      <c r="D64" s="81"/>
      <c r="E64" s="81"/>
      <c r="F64" s="74"/>
      <c r="G64" s="81"/>
      <c r="H64" s="81"/>
      <c r="I64" s="81"/>
      <c r="J64" s="81"/>
      <c r="K64" s="74"/>
      <c r="L64" s="81"/>
      <c r="M64" s="81"/>
      <c r="N64" s="81"/>
      <c r="O64" s="81"/>
      <c r="P64" s="74"/>
    </row>
    <row r="65">
      <c r="A65" s="74"/>
      <c r="B65" s="81"/>
      <c r="C65" s="81"/>
      <c r="D65" s="81"/>
      <c r="E65" s="81"/>
      <c r="F65" s="74"/>
      <c r="G65" s="81"/>
      <c r="H65" s="81"/>
      <c r="I65" s="81"/>
      <c r="J65" s="81"/>
      <c r="K65" s="74"/>
      <c r="L65" s="81"/>
      <c r="M65" s="81"/>
      <c r="N65" s="81"/>
      <c r="O65" s="81"/>
      <c r="P65" s="74"/>
    </row>
    <row r="66">
      <c r="A66" s="74"/>
      <c r="B66" s="81"/>
      <c r="C66" s="81"/>
      <c r="D66" s="81"/>
      <c r="E66" s="81"/>
      <c r="F66" s="74"/>
      <c r="G66" s="81"/>
      <c r="H66" s="81"/>
      <c r="I66" s="81"/>
      <c r="J66" s="81"/>
      <c r="K66" s="74"/>
      <c r="L66" s="81"/>
      <c r="M66" s="81"/>
      <c r="N66" s="81"/>
      <c r="O66" s="81"/>
      <c r="P66" s="74"/>
    </row>
    <row r="67">
      <c r="A67" s="74"/>
      <c r="B67" s="81"/>
      <c r="C67" s="81"/>
      <c r="D67" s="81"/>
      <c r="E67" s="81"/>
      <c r="F67" s="74"/>
      <c r="G67" s="81"/>
      <c r="H67" s="81"/>
      <c r="I67" s="81"/>
      <c r="J67" s="81"/>
      <c r="K67" s="74"/>
      <c r="L67" s="81"/>
      <c r="M67" s="81"/>
      <c r="N67" s="81"/>
      <c r="O67" s="81"/>
      <c r="P67" s="74"/>
    </row>
    <row r="68">
      <c r="A68" s="74"/>
      <c r="B68" s="81"/>
      <c r="C68" s="81"/>
      <c r="D68" s="81"/>
      <c r="E68" s="81"/>
      <c r="F68" s="74"/>
      <c r="G68" s="81"/>
      <c r="H68" s="81"/>
      <c r="I68" s="81"/>
      <c r="J68" s="81"/>
      <c r="K68" s="74"/>
      <c r="L68" s="81"/>
      <c r="M68" s="81"/>
      <c r="N68" s="81"/>
      <c r="O68" s="81"/>
      <c r="P68" s="74"/>
    </row>
    <row r="69">
      <c r="A69" s="74"/>
      <c r="B69" s="81"/>
      <c r="C69" s="81"/>
      <c r="D69" s="81"/>
      <c r="E69" s="81"/>
      <c r="F69" s="74"/>
      <c r="G69" s="81"/>
      <c r="H69" s="81"/>
      <c r="I69" s="81"/>
      <c r="J69" s="81"/>
      <c r="K69" s="74"/>
      <c r="L69" s="81"/>
      <c r="M69" s="81"/>
      <c r="N69" s="81"/>
      <c r="O69" s="81"/>
      <c r="P69" s="74"/>
    </row>
    <row r="70">
      <c r="A70" s="74"/>
      <c r="B70" s="81"/>
      <c r="C70" s="81"/>
      <c r="D70" s="81"/>
      <c r="E70" s="81"/>
      <c r="F70" s="74"/>
      <c r="G70" s="81"/>
      <c r="H70" s="81"/>
      <c r="I70" s="81"/>
      <c r="J70" s="81"/>
      <c r="K70" s="74"/>
      <c r="L70" s="81"/>
      <c r="M70" s="81"/>
      <c r="N70" s="81"/>
      <c r="O70" s="81"/>
      <c r="P70" s="74"/>
    </row>
    <row r="71">
      <c r="A71" s="74"/>
      <c r="B71" s="81"/>
      <c r="C71" s="81"/>
      <c r="D71" s="81"/>
      <c r="E71" s="81"/>
      <c r="F71" s="74"/>
      <c r="G71" s="81"/>
      <c r="H71" s="81"/>
      <c r="I71" s="81"/>
      <c r="J71" s="81"/>
      <c r="K71" s="74"/>
      <c r="L71" s="81"/>
      <c r="M71" s="81"/>
      <c r="N71" s="81"/>
      <c r="O71" s="81"/>
      <c r="P71" s="74"/>
    </row>
    <row r="72">
      <c r="A72" s="74"/>
      <c r="B72" s="81"/>
      <c r="C72" s="81"/>
      <c r="D72" s="81"/>
      <c r="E72" s="81"/>
      <c r="F72" s="74"/>
      <c r="G72" s="81"/>
      <c r="H72" s="81"/>
      <c r="I72" s="81"/>
      <c r="J72" s="81"/>
      <c r="K72" s="74"/>
      <c r="L72" s="81"/>
      <c r="M72" s="81"/>
      <c r="N72" s="81"/>
      <c r="O72" s="81"/>
      <c r="P72" s="74"/>
    </row>
    <row r="73">
      <c r="A73" s="74"/>
      <c r="B73" s="81"/>
      <c r="C73" s="81"/>
      <c r="D73" s="81"/>
      <c r="E73" s="81"/>
      <c r="F73" s="74"/>
      <c r="G73" s="81"/>
      <c r="H73" s="81"/>
      <c r="I73" s="81"/>
      <c r="J73" s="81"/>
      <c r="K73" s="74"/>
      <c r="L73" s="81"/>
      <c r="M73" s="81"/>
      <c r="N73" s="81"/>
      <c r="O73" s="81"/>
      <c r="P73" s="74"/>
    </row>
    <row r="74">
      <c r="A74" s="74"/>
      <c r="B74" s="81"/>
      <c r="C74" s="81"/>
      <c r="D74" s="81"/>
      <c r="E74" s="81"/>
      <c r="F74" s="74"/>
      <c r="G74" s="81"/>
      <c r="H74" s="81"/>
      <c r="I74" s="81"/>
      <c r="J74" s="81"/>
      <c r="K74" s="74"/>
      <c r="L74" s="81"/>
      <c r="M74" s="81"/>
      <c r="N74" s="81"/>
      <c r="O74" s="81"/>
      <c r="P74" s="74"/>
    </row>
    <row r="75">
      <c r="A75" s="74"/>
      <c r="B75" s="81"/>
      <c r="C75" s="81"/>
      <c r="D75" s="81"/>
      <c r="E75" s="81"/>
      <c r="F75" s="74"/>
      <c r="G75" s="81"/>
      <c r="H75" s="81"/>
      <c r="I75" s="81"/>
      <c r="J75" s="81"/>
      <c r="K75" s="74"/>
      <c r="L75" s="81"/>
      <c r="M75" s="81"/>
      <c r="N75" s="81"/>
      <c r="O75" s="81"/>
      <c r="P75" s="74"/>
    </row>
    <row r="76">
      <c r="A76" s="74"/>
      <c r="B76" s="81"/>
      <c r="C76" s="81"/>
      <c r="D76" s="81"/>
      <c r="E76" s="81"/>
      <c r="F76" s="74"/>
      <c r="G76" s="81"/>
      <c r="H76" s="81"/>
      <c r="I76" s="81"/>
      <c r="J76" s="81"/>
      <c r="K76" s="74"/>
      <c r="L76" s="81"/>
      <c r="M76" s="81"/>
      <c r="N76" s="81"/>
      <c r="O76" s="81"/>
      <c r="P76" s="74"/>
    </row>
    <row r="77">
      <c r="A77" s="74"/>
      <c r="B77" s="81"/>
      <c r="C77" s="81"/>
      <c r="D77" s="81"/>
      <c r="E77" s="81"/>
      <c r="F77" s="74"/>
      <c r="G77" s="81"/>
      <c r="H77" s="81"/>
      <c r="I77" s="81"/>
      <c r="J77" s="81"/>
      <c r="K77" s="74"/>
      <c r="L77" s="81"/>
      <c r="M77" s="81"/>
      <c r="N77" s="81"/>
      <c r="O77" s="81"/>
      <c r="P77" s="74"/>
    </row>
    <row r="78">
      <c r="A78" s="74"/>
      <c r="B78" s="81"/>
      <c r="C78" s="81"/>
      <c r="D78" s="81"/>
      <c r="E78" s="81"/>
      <c r="F78" s="74"/>
      <c r="G78" s="81"/>
      <c r="H78" s="81"/>
      <c r="I78" s="81"/>
      <c r="J78" s="81"/>
      <c r="K78" s="74"/>
      <c r="L78" s="81"/>
      <c r="M78" s="81"/>
      <c r="N78" s="81"/>
      <c r="O78" s="81"/>
      <c r="P78" s="74"/>
    </row>
    <row r="79">
      <c r="A79" s="74"/>
      <c r="B79" s="81"/>
      <c r="C79" s="81"/>
      <c r="D79" s="81"/>
      <c r="E79" s="81"/>
      <c r="F79" s="74"/>
      <c r="G79" s="81"/>
      <c r="H79" s="81"/>
      <c r="I79" s="81"/>
      <c r="J79" s="81"/>
      <c r="K79" s="74"/>
      <c r="L79" s="81"/>
      <c r="M79" s="81"/>
      <c r="N79" s="81"/>
      <c r="O79" s="81"/>
      <c r="P79" s="74"/>
    </row>
    <row r="80">
      <c r="A80" s="74"/>
      <c r="B80" s="81"/>
      <c r="C80" s="81"/>
      <c r="D80" s="81"/>
      <c r="E80" s="81"/>
      <c r="F80" s="74"/>
      <c r="G80" s="81"/>
      <c r="H80" s="81"/>
      <c r="I80" s="81"/>
      <c r="J80" s="81"/>
      <c r="K80" s="74"/>
      <c r="L80" s="81"/>
      <c r="M80" s="81"/>
      <c r="N80" s="81"/>
      <c r="O80" s="81"/>
      <c r="P80" s="74"/>
    </row>
    <row r="81">
      <c r="A81" s="74"/>
      <c r="B81" s="81"/>
      <c r="C81" s="81"/>
      <c r="D81" s="81"/>
      <c r="E81" s="81"/>
      <c r="F81" s="74"/>
      <c r="G81" s="81"/>
      <c r="H81" s="81"/>
      <c r="I81" s="81"/>
      <c r="J81" s="81"/>
      <c r="K81" s="74"/>
      <c r="L81" s="81"/>
      <c r="M81" s="81"/>
      <c r="N81" s="81"/>
      <c r="O81" s="81"/>
      <c r="P81" s="74"/>
    </row>
    <row r="82">
      <c r="A82" s="74"/>
      <c r="B82" s="81"/>
      <c r="C82" s="81"/>
      <c r="D82" s="81"/>
      <c r="E82" s="81"/>
      <c r="F82" s="74"/>
      <c r="G82" s="81"/>
      <c r="H82" s="81"/>
      <c r="I82" s="81"/>
      <c r="J82" s="81"/>
      <c r="K82" s="74"/>
      <c r="L82" s="81"/>
      <c r="M82" s="81"/>
      <c r="N82" s="81"/>
      <c r="O82" s="81"/>
      <c r="P82" s="74"/>
    </row>
    <row r="83">
      <c r="A83" s="74"/>
      <c r="B83" s="81"/>
      <c r="C83" s="81"/>
      <c r="D83" s="81"/>
      <c r="E83" s="81"/>
      <c r="F83" s="74"/>
      <c r="G83" s="81"/>
      <c r="H83" s="81"/>
      <c r="I83" s="81"/>
      <c r="J83" s="81"/>
      <c r="K83" s="74"/>
      <c r="L83" s="81"/>
      <c r="M83" s="81"/>
      <c r="N83" s="81"/>
      <c r="O83" s="81"/>
      <c r="P83" s="74"/>
    </row>
    <row r="84">
      <c r="A84" s="74"/>
      <c r="B84" s="81"/>
      <c r="C84" s="81"/>
      <c r="D84" s="81"/>
      <c r="E84" s="81"/>
      <c r="F84" s="74"/>
      <c r="G84" s="81"/>
      <c r="H84" s="81"/>
      <c r="I84" s="81"/>
      <c r="J84" s="81"/>
      <c r="K84" s="74"/>
      <c r="L84" s="81"/>
      <c r="M84" s="81"/>
      <c r="N84" s="81"/>
      <c r="O84" s="81"/>
      <c r="P84" s="74"/>
    </row>
    <row r="85">
      <c r="A85" s="74"/>
      <c r="B85" s="81"/>
      <c r="C85" s="81"/>
      <c r="D85" s="81"/>
      <c r="E85" s="81"/>
      <c r="F85" s="74"/>
      <c r="G85" s="81"/>
      <c r="H85" s="81"/>
      <c r="I85" s="81"/>
      <c r="J85" s="81"/>
      <c r="K85" s="74"/>
      <c r="L85" s="81"/>
      <c r="M85" s="81"/>
      <c r="N85" s="81"/>
      <c r="O85" s="81"/>
      <c r="P85" s="74"/>
    </row>
    <row r="86">
      <c r="A86" s="74"/>
      <c r="B86" s="81"/>
      <c r="C86" s="81"/>
      <c r="D86" s="81"/>
      <c r="E86" s="81"/>
      <c r="F86" s="74"/>
      <c r="G86" s="81"/>
      <c r="H86" s="81"/>
      <c r="I86" s="81"/>
      <c r="J86" s="81"/>
      <c r="K86" s="74"/>
      <c r="L86" s="81"/>
      <c r="M86" s="81"/>
      <c r="N86" s="81"/>
      <c r="O86" s="81"/>
      <c r="P86" s="74"/>
    </row>
    <row r="87">
      <c r="A87" s="74"/>
      <c r="B87" s="81"/>
      <c r="C87" s="81"/>
      <c r="D87" s="81"/>
      <c r="E87" s="81"/>
      <c r="F87" s="74"/>
      <c r="G87" s="81"/>
      <c r="H87" s="81"/>
      <c r="I87" s="81"/>
      <c r="J87" s="81"/>
      <c r="K87" s="74"/>
      <c r="L87" s="81"/>
      <c r="M87" s="81"/>
      <c r="N87" s="81"/>
      <c r="O87" s="81"/>
      <c r="P87" s="74"/>
    </row>
    <row r="88">
      <c r="A88" s="74"/>
      <c r="B88" s="81"/>
      <c r="C88" s="81"/>
      <c r="D88" s="81"/>
      <c r="E88" s="81"/>
      <c r="F88" s="74"/>
      <c r="G88" s="81"/>
      <c r="H88" s="81"/>
      <c r="I88" s="81"/>
      <c r="J88" s="81"/>
      <c r="K88" s="74"/>
      <c r="L88" s="81"/>
      <c r="M88" s="81"/>
      <c r="N88" s="81"/>
      <c r="O88" s="81"/>
      <c r="P88" s="74"/>
    </row>
    <row r="89">
      <c r="A89" s="74"/>
      <c r="B89" s="81"/>
      <c r="C89" s="81"/>
      <c r="D89" s="81"/>
      <c r="E89" s="81"/>
      <c r="F89" s="74"/>
      <c r="G89" s="81"/>
      <c r="H89" s="81"/>
      <c r="I89" s="81"/>
      <c r="J89" s="81"/>
      <c r="K89" s="74"/>
      <c r="L89" s="81"/>
      <c r="M89" s="81"/>
      <c r="N89" s="81"/>
      <c r="O89" s="81"/>
      <c r="P89" s="74"/>
    </row>
    <row r="90">
      <c r="A90" s="74"/>
      <c r="B90" s="81"/>
      <c r="C90" s="81"/>
      <c r="D90" s="81"/>
      <c r="E90" s="81"/>
      <c r="F90" s="74"/>
      <c r="G90" s="81"/>
      <c r="H90" s="81"/>
      <c r="I90" s="81"/>
      <c r="J90" s="81"/>
      <c r="K90" s="74"/>
      <c r="L90" s="81"/>
      <c r="M90" s="81"/>
      <c r="N90" s="81"/>
      <c r="O90" s="81"/>
      <c r="P90" s="74"/>
    </row>
    <row r="91">
      <c r="A91" s="74"/>
      <c r="B91" s="81"/>
      <c r="C91" s="81"/>
      <c r="D91" s="81"/>
      <c r="E91" s="81"/>
      <c r="F91" s="74"/>
      <c r="G91" s="81"/>
      <c r="H91" s="81"/>
      <c r="I91" s="81"/>
      <c r="J91" s="81"/>
      <c r="K91" s="74"/>
      <c r="L91" s="81"/>
      <c r="M91" s="81"/>
      <c r="N91" s="81"/>
      <c r="O91" s="81"/>
      <c r="P91" s="74"/>
    </row>
    <row r="92">
      <c r="A92" s="74"/>
      <c r="B92" s="81"/>
      <c r="C92" s="81"/>
      <c r="D92" s="81"/>
      <c r="E92" s="81"/>
      <c r="F92" s="74"/>
      <c r="G92" s="81"/>
      <c r="H92" s="81"/>
      <c r="I92" s="81"/>
      <c r="J92" s="81"/>
      <c r="K92" s="74"/>
      <c r="L92" s="81"/>
      <c r="M92" s="81"/>
      <c r="N92" s="81"/>
      <c r="O92" s="81"/>
      <c r="P92" s="74"/>
    </row>
    <row r="93">
      <c r="A93" s="74"/>
      <c r="B93" s="81"/>
      <c r="C93" s="81"/>
      <c r="D93" s="81"/>
      <c r="E93" s="81"/>
      <c r="F93" s="74"/>
      <c r="G93" s="81"/>
      <c r="H93" s="81"/>
      <c r="I93" s="81"/>
      <c r="J93" s="81"/>
      <c r="K93" s="74"/>
      <c r="L93" s="81"/>
      <c r="M93" s="81"/>
      <c r="N93" s="81"/>
      <c r="O93" s="81"/>
      <c r="P93" s="74"/>
    </row>
    <row r="94">
      <c r="A94" s="74"/>
      <c r="B94" s="81"/>
      <c r="C94" s="81"/>
      <c r="D94" s="81"/>
      <c r="E94" s="81"/>
      <c r="F94" s="74"/>
      <c r="G94" s="81"/>
      <c r="H94" s="81"/>
      <c r="I94" s="81"/>
      <c r="J94" s="81"/>
      <c r="K94" s="74"/>
      <c r="L94" s="81"/>
      <c r="M94" s="81"/>
      <c r="N94" s="81"/>
      <c r="O94" s="81"/>
      <c r="P94" s="74"/>
    </row>
    <row r="95">
      <c r="A95" s="74"/>
      <c r="B95" s="81"/>
      <c r="C95" s="81"/>
      <c r="D95" s="81"/>
      <c r="E95" s="81"/>
      <c r="F95" s="74"/>
      <c r="G95" s="81"/>
      <c r="H95" s="81"/>
      <c r="I95" s="81"/>
      <c r="J95" s="81"/>
      <c r="K95" s="74"/>
      <c r="L95" s="81"/>
      <c r="M95" s="81"/>
      <c r="N95" s="81"/>
      <c r="O95" s="81"/>
      <c r="P95" s="74"/>
    </row>
    <row r="96">
      <c r="A96" s="74"/>
      <c r="B96" s="81"/>
      <c r="C96" s="81"/>
      <c r="D96" s="81"/>
      <c r="E96" s="81"/>
      <c r="F96" s="74"/>
      <c r="G96" s="81"/>
      <c r="H96" s="81"/>
      <c r="I96" s="81"/>
      <c r="J96" s="81"/>
      <c r="K96" s="74"/>
      <c r="L96" s="81"/>
      <c r="M96" s="81"/>
      <c r="N96" s="81"/>
      <c r="O96" s="81"/>
      <c r="P96" s="74"/>
    </row>
    <row r="97">
      <c r="A97" s="74"/>
      <c r="B97" s="81"/>
      <c r="C97" s="81"/>
      <c r="D97" s="81"/>
      <c r="E97" s="81"/>
      <c r="F97" s="74"/>
      <c r="G97" s="81"/>
      <c r="H97" s="81"/>
      <c r="I97" s="81"/>
      <c r="J97" s="81"/>
      <c r="K97" s="74"/>
      <c r="L97" s="81"/>
      <c r="M97" s="81"/>
      <c r="N97" s="81"/>
      <c r="O97" s="81"/>
      <c r="P97" s="74"/>
    </row>
    <row r="98">
      <c r="A98" s="74"/>
      <c r="B98" s="81"/>
      <c r="C98" s="81"/>
      <c r="D98" s="81"/>
      <c r="E98" s="81"/>
      <c r="F98" s="74"/>
      <c r="G98" s="81"/>
      <c r="H98" s="81"/>
      <c r="I98" s="81"/>
      <c r="J98" s="81"/>
      <c r="K98" s="74"/>
      <c r="L98" s="81"/>
      <c r="M98" s="81"/>
      <c r="N98" s="81"/>
      <c r="O98" s="81"/>
      <c r="P98" s="74"/>
    </row>
    <row r="99">
      <c r="A99" s="74"/>
      <c r="B99" s="81"/>
      <c r="C99" s="81"/>
      <c r="D99" s="81"/>
      <c r="E99" s="81"/>
      <c r="F99" s="74"/>
      <c r="G99" s="81"/>
      <c r="H99" s="81"/>
      <c r="I99" s="81"/>
      <c r="J99" s="81"/>
      <c r="K99" s="74"/>
      <c r="L99" s="81"/>
      <c r="M99" s="81"/>
      <c r="N99" s="81"/>
      <c r="O99" s="81"/>
      <c r="P99" s="74"/>
    </row>
    <row r="100">
      <c r="A100" s="74"/>
      <c r="B100" s="81"/>
      <c r="C100" s="81"/>
      <c r="D100" s="81"/>
      <c r="E100" s="81"/>
      <c r="F100" s="74"/>
      <c r="G100" s="81"/>
      <c r="H100" s="81"/>
      <c r="I100" s="81"/>
      <c r="J100" s="81"/>
      <c r="K100" s="74"/>
      <c r="L100" s="81"/>
      <c r="M100" s="81"/>
      <c r="N100" s="81"/>
      <c r="O100" s="81"/>
      <c r="P100" s="74"/>
    </row>
    <row r="101">
      <c r="A101" s="74"/>
      <c r="B101" s="81"/>
      <c r="C101" s="81"/>
      <c r="D101" s="81"/>
      <c r="E101" s="81"/>
      <c r="F101" s="74"/>
      <c r="G101" s="81"/>
      <c r="H101" s="81"/>
      <c r="I101" s="81"/>
      <c r="J101" s="81"/>
      <c r="K101" s="74"/>
      <c r="L101" s="81"/>
      <c r="M101" s="81"/>
      <c r="N101" s="81"/>
      <c r="O101" s="81"/>
      <c r="P101" s="74"/>
    </row>
    <row r="102">
      <c r="A102" s="74"/>
      <c r="B102" s="81"/>
      <c r="C102" s="81"/>
      <c r="D102" s="81"/>
      <c r="E102" s="81"/>
      <c r="F102" s="74"/>
      <c r="G102" s="81"/>
      <c r="H102" s="81"/>
      <c r="I102" s="81"/>
      <c r="J102" s="81"/>
      <c r="K102" s="74"/>
      <c r="L102" s="81"/>
      <c r="M102" s="81"/>
      <c r="N102" s="81"/>
      <c r="O102" s="81"/>
      <c r="P102" s="74"/>
    </row>
    <row r="103">
      <c r="A103" s="74"/>
      <c r="B103" s="81"/>
      <c r="C103" s="81"/>
      <c r="D103" s="81"/>
      <c r="E103" s="81"/>
      <c r="F103" s="74"/>
      <c r="G103" s="81"/>
      <c r="H103" s="81"/>
      <c r="I103" s="81"/>
      <c r="J103" s="81"/>
      <c r="K103" s="74"/>
      <c r="L103" s="81"/>
      <c r="M103" s="81"/>
      <c r="N103" s="81"/>
      <c r="O103" s="81"/>
      <c r="P103" s="74"/>
    </row>
    <row r="104">
      <c r="A104" s="74"/>
      <c r="B104" s="81"/>
      <c r="C104" s="81"/>
      <c r="D104" s="81"/>
      <c r="E104" s="81"/>
      <c r="F104" s="74"/>
      <c r="G104" s="81"/>
      <c r="H104" s="81"/>
      <c r="I104" s="81"/>
      <c r="J104" s="81"/>
      <c r="K104" s="74"/>
      <c r="L104" s="81"/>
      <c r="M104" s="81"/>
      <c r="N104" s="81"/>
      <c r="O104" s="81"/>
      <c r="P104" s="74"/>
    </row>
    <row r="105">
      <c r="A105" s="74"/>
      <c r="B105" s="81"/>
      <c r="C105" s="81"/>
      <c r="D105" s="81"/>
      <c r="E105" s="81"/>
      <c r="F105" s="74"/>
      <c r="G105" s="81"/>
      <c r="H105" s="81"/>
      <c r="I105" s="81"/>
      <c r="J105" s="81"/>
      <c r="K105" s="74"/>
      <c r="L105" s="81"/>
      <c r="M105" s="81"/>
      <c r="N105" s="81"/>
      <c r="O105" s="81"/>
      <c r="P105" s="74"/>
    </row>
    <row r="106">
      <c r="A106" s="74"/>
      <c r="B106" s="81"/>
      <c r="C106" s="81"/>
      <c r="D106" s="81"/>
      <c r="E106" s="81"/>
      <c r="F106" s="74"/>
      <c r="G106" s="81"/>
      <c r="H106" s="81"/>
      <c r="I106" s="81"/>
      <c r="J106" s="81"/>
      <c r="K106" s="74"/>
      <c r="L106" s="81"/>
      <c r="M106" s="81"/>
      <c r="N106" s="81"/>
      <c r="O106" s="81"/>
      <c r="P106" s="74"/>
    </row>
    <row r="107">
      <c r="A107" s="74"/>
      <c r="B107" s="81"/>
      <c r="C107" s="81"/>
      <c r="D107" s="81"/>
      <c r="E107" s="81"/>
      <c r="F107" s="74"/>
      <c r="G107" s="81"/>
      <c r="H107" s="81"/>
      <c r="I107" s="81"/>
      <c r="J107" s="81"/>
      <c r="K107" s="74"/>
      <c r="L107" s="81"/>
      <c r="M107" s="81"/>
      <c r="N107" s="81"/>
      <c r="O107" s="81"/>
      <c r="P107" s="74"/>
    </row>
    <row r="108">
      <c r="A108" s="74"/>
      <c r="B108" s="81"/>
      <c r="C108" s="81"/>
      <c r="D108" s="81"/>
      <c r="E108" s="81"/>
      <c r="F108" s="74"/>
      <c r="G108" s="81"/>
      <c r="H108" s="81"/>
      <c r="I108" s="81"/>
      <c r="J108" s="81"/>
      <c r="K108" s="74"/>
      <c r="L108" s="81"/>
      <c r="M108" s="81"/>
      <c r="N108" s="81"/>
      <c r="O108" s="81"/>
      <c r="P108" s="74"/>
    </row>
    <row r="109">
      <c r="A109" s="74"/>
      <c r="B109" s="81"/>
      <c r="C109" s="81"/>
      <c r="D109" s="81"/>
      <c r="E109" s="81"/>
      <c r="F109" s="74"/>
      <c r="G109" s="81"/>
      <c r="H109" s="81"/>
      <c r="I109" s="81"/>
      <c r="J109" s="81"/>
      <c r="K109" s="74"/>
      <c r="L109" s="81"/>
      <c r="M109" s="81"/>
      <c r="N109" s="81"/>
      <c r="O109" s="81"/>
      <c r="P109" s="74"/>
    </row>
    <row r="110">
      <c r="A110" s="74"/>
      <c r="B110" s="81"/>
      <c r="C110" s="81"/>
      <c r="D110" s="81"/>
      <c r="E110" s="81"/>
      <c r="F110" s="74"/>
      <c r="G110" s="81"/>
      <c r="H110" s="81"/>
      <c r="I110" s="81"/>
      <c r="J110" s="81"/>
      <c r="K110" s="74"/>
      <c r="L110" s="81"/>
      <c r="M110" s="81"/>
      <c r="N110" s="81"/>
      <c r="O110" s="81"/>
      <c r="P110" s="74"/>
    </row>
    <row r="111">
      <c r="A111" s="74"/>
      <c r="B111" s="81"/>
      <c r="C111" s="81"/>
      <c r="D111" s="81"/>
      <c r="E111" s="81"/>
      <c r="F111" s="74"/>
      <c r="G111" s="81"/>
      <c r="H111" s="81"/>
      <c r="I111" s="81"/>
      <c r="J111" s="81"/>
      <c r="K111" s="74"/>
      <c r="L111" s="81"/>
      <c r="M111" s="81"/>
      <c r="N111" s="81"/>
      <c r="O111" s="81"/>
      <c r="P111" s="74"/>
    </row>
    <row r="112">
      <c r="A112" s="74"/>
      <c r="B112" s="81"/>
      <c r="C112" s="81"/>
      <c r="D112" s="81"/>
      <c r="E112" s="81"/>
      <c r="F112" s="74"/>
      <c r="G112" s="81"/>
      <c r="H112" s="81"/>
      <c r="I112" s="81"/>
      <c r="J112" s="81"/>
      <c r="K112" s="74"/>
      <c r="L112" s="81"/>
      <c r="M112" s="81"/>
      <c r="N112" s="81"/>
      <c r="O112" s="81"/>
      <c r="P112" s="74"/>
    </row>
    <row r="113">
      <c r="A113" s="74"/>
      <c r="B113" s="81"/>
      <c r="C113" s="81"/>
      <c r="D113" s="81"/>
      <c r="E113" s="81"/>
      <c r="F113" s="74"/>
      <c r="G113" s="81"/>
      <c r="H113" s="81"/>
      <c r="I113" s="81"/>
      <c r="J113" s="81"/>
      <c r="K113" s="74"/>
      <c r="L113" s="81"/>
      <c r="M113" s="81"/>
      <c r="N113" s="81"/>
      <c r="O113" s="81"/>
      <c r="P113" s="74"/>
    </row>
    <row r="114">
      <c r="A114" s="74"/>
      <c r="B114" s="81"/>
      <c r="C114" s="81"/>
      <c r="D114" s="81"/>
      <c r="E114" s="81"/>
      <c r="F114" s="74"/>
      <c r="G114" s="81"/>
      <c r="H114" s="81"/>
      <c r="I114" s="81"/>
      <c r="J114" s="81"/>
      <c r="K114" s="74"/>
      <c r="L114" s="81"/>
      <c r="M114" s="81"/>
      <c r="N114" s="81"/>
      <c r="O114" s="81"/>
      <c r="P114" s="74"/>
    </row>
    <row r="115">
      <c r="A115" s="74"/>
      <c r="B115" s="81"/>
      <c r="C115" s="81"/>
      <c r="D115" s="81"/>
      <c r="E115" s="81"/>
      <c r="F115" s="74"/>
      <c r="G115" s="81"/>
      <c r="H115" s="81"/>
      <c r="I115" s="81"/>
      <c r="J115" s="81"/>
      <c r="K115" s="74"/>
      <c r="L115" s="81"/>
      <c r="M115" s="81"/>
      <c r="N115" s="81"/>
      <c r="O115" s="81"/>
      <c r="P115" s="74"/>
    </row>
    <row r="116">
      <c r="A116" s="74"/>
      <c r="B116" s="81"/>
      <c r="C116" s="81"/>
      <c r="D116" s="81"/>
      <c r="E116" s="81"/>
      <c r="F116" s="74"/>
      <c r="G116" s="81"/>
      <c r="H116" s="81"/>
      <c r="I116" s="81"/>
      <c r="J116" s="81"/>
      <c r="K116" s="74"/>
      <c r="L116" s="81"/>
      <c r="M116" s="81"/>
      <c r="N116" s="81"/>
      <c r="O116" s="81"/>
      <c r="P116" s="74"/>
    </row>
    <row r="117">
      <c r="A117" s="74"/>
      <c r="B117" s="81"/>
      <c r="C117" s="81"/>
      <c r="D117" s="81"/>
      <c r="E117" s="81"/>
      <c r="F117" s="74"/>
      <c r="G117" s="81"/>
      <c r="H117" s="81"/>
      <c r="I117" s="81"/>
      <c r="J117" s="81"/>
      <c r="K117" s="74"/>
      <c r="L117" s="81"/>
      <c r="M117" s="81"/>
      <c r="N117" s="81"/>
      <c r="O117" s="81"/>
      <c r="P117" s="74"/>
    </row>
    <row r="118">
      <c r="A118" s="74"/>
      <c r="B118" s="81"/>
      <c r="C118" s="81"/>
      <c r="D118" s="81"/>
      <c r="E118" s="81"/>
      <c r="F118" s="74"/>
      <c r="G118" s="81"/>
      <c r="H118" s="81"/>
      <c r="I118" s="81"/>
      <c r="J118" s="81"/>
      <c r="K118" s="74"/>
      <c r="L118" s="81"/>
      <c r="M118" s="81"/>
      <c r="N118" s="81"/>
      <c r="O118" s="81"/>
      <c r="P118" s="74"/>
    </row>
    <row r="119">
      <c r="A119" s="74"/>
      <c r="B119" s="81"/>
      <c r="C119" s="81"/>
      <c r="D119" s="81"/>
      <c r="E119" s="81"/>
      <c r="F119" s="74"/>
      <c r="G119" s="81"/>
      <c r="H119" s="81"/>
      <c r="I119" s="81"/>
      <c r="J119" s="81"/>
      <c r="K119" s="74"/>
      <c r="L119" s="81"/>
      <c r="M119" s="81"/>
      <c r="N119" s="81"/>
      <c r="O119" s="81"/>
      <c r="P119" s="74"/>
    </row>
    <row r="120">
      <c r="A120" s="74"/>
      <c r="B120" s="81"/>
      <c r="C120" s="81"/>
      <c r="D120" s="81"/>
      <c r="E120" s="81"/>
      <c r="F120" s="74"/>
      <c r="G120" s="81"/>
      <c r="H120" s="81"/>
      <c r="I120" s="81"/>
      <c r="J120" s="81"/>
      <c r="K120" s="74"/>
      <c r="L120" s="81"/>
      <c r="M120" s="81"/>
      <c r="N120" s="81"/>
      <c r="O120" s="81"/>
      <c r="P120" s="74"/>
    </row>
    <row r="121">
      <c r="A121" s="74"/>
      <c r="B121" s="81"/>
      <c r="C121" s="81"/>
      <c r="D121" s="81"/>
      <c r="E121" s="81"/>
      <c r="F121" s="74"/>
      <c r="G121" s="81"/>
      <c r="H121" s="81"/>
      <c r="I121" s="81"/>
      <c r="J121" s="81"/>
      <c r="K121" s="74"/>
      <c r="L121" s="81"/>
      <c r="M121" s="81"/>
      <c r="N121" s="81"/>
      <c r="O121" s="81"/>
      <c r="P121" s="74"/>
    </row>
    <row r="122">
      <c r="A122" s="74"/>
      <c r="B122" s="81"/>
      <c r="C122" s="81"/>
      <c r="D122" s="81"/>
      <c r="E122" s="81"/>
      <c r="F122" s="74"/>
      <c r="G122" s="81"/>
      <c r="H122" s="81"/>
      <c r="I122" s="81"/>
      <c r="J122" s="81"/>
      <c r="K122" s="74"/>
      <c r="L122" s="81"/>
      <c r="M122" s="81"/>
      <c r="N122" s="81"/>
      <c r="O122" s="81"/>
      <c r="P122" s="74"/>
    </row>
    <row r="123">
      <c r="A123" s="74"/>
      <c r="B123" s="81"/>
      <c r="C123" s="81"/>
      <c r="D123" s="81"/>
      <c r="E123" s="81"/>
      <c r="F123" s="74"/>
      <c r="G123" s="81"/>
      <c r="H123" s="81"/>
      <c r="I123" s="81"/>
      <c r="J123" s="81"/>
      <c r="K123" s="74"/>
      <c r="L123" s="81"/>
      <c r="M123" s="81"/>
      <c r="N123" s="81"/>
      <c r="O123" s="81"/>
      <c r="P123" s="74"/>
    </row>
    <row r="124">
      <c r="A124" s="74"/>
      <c r="B124" s="81"/>
      <c r="C124" s="81"/>
      <c r="D124" s="81"/>
      <c r="E124" s="81"/>
      <c r="F124" s="74"/>
      <c r="G124" s="81"/>
      <c r="H124" s="81"/>
      <c r="I124" s="81"/>
      <c r="J124" s="81"/>
      <c r="K124" s="74"/>
      <c r="L124" s="81"/>
      <c r="M124" s="81"/>
      <c r="N124" s="81"/>
      <c r="O124" s="81"/>
      <c r="P124" s="74"/>
    </row>
    <row r="125">
      <c r="A125" s="74"/>
      <c r="B125" s="81"/>
      <c r="C125" s="81"/>
      <c r="D125" s="81"/>
      <c r="E125" s="81"/>
      <c r="F125" s="74"/>
      <c r="G125" s="81"/>
      <c r="H125" s="81"/>
      <c r="I125" s="81"/>
      <c r="J125" s="81"/>
      <c r="K125" s="74"/>
      <c r="L125" s="81"/>
      <c r="M125" s="81"/>
      <c r="N125" s="81"/>
      <c r="O125" s="81"/>
      <c r="P125" s="74"/>
    </row>
    <row r="126">
      <c r="A126" s="74"/>
      <c r="B126" s="81"/>
      <c r="C126" s="81"/>
      <c r="D126" s="81"/>
      <c r="E126" s="81"/>
      <c r="F126" s="74"/>
      <c r="G126" s="81"/>
      <c r="H126" s="81"/>
      <c r="I126" s="81"/>
      <c r="J126" s="81"/>
      <c r="K126" s="74"/>
      <c r="L126" s="81"/>
      <c r="M126" s="81"/>
      <c r="N126" s="81"/>
      <c r="O126" s="81"/>
      <c r="P126" s="74"/>
    </row>
    <row r="127">
      <c r="A127" s="74"/>
      <c r="B127" s="81"/>
      <c r="C127" s="81"/>
      <c r="D127" s="81"/>
      <c r="E127" s="81"/>
      <c r="F127" s="74"/>
      <c r="G127" s="81"/>
      <c r="H127" s="81"/>
      <c r="I127" s="81"/>
      <c r="J127" s="81"/>
      <c r="K127" s="74"/>
      <c r="L127" s="81"/>
      <c r="M127" s="81"/>
      <c r="N127" s="81"/>
      <c r="O127" s="81"/>
      <c r="P127" s="74"/>
    </row>
    <row r="128">
      <c r="A128" s="74"/>
      <c r="B128" s="81"/>
      <c r="C128" s="81"/>
      <c r="D128" s="81"/>
      <c r="E128" s="81"/>
      <c r="F128" s="74"/>
      <c r="G128" s="81"/>
      <c r="H128" s="81"/>
      <c r="I128" s="81"/>
      <c r="J128" s="81"/>
      <c r="K128" s="74"/>
      <c r="L128" s="81"/>
      <c r="M128" s="81"/>
      <c r="N128" s="81"/>
      <c r="O128" s="81"/>
      <c r="P128" s="74"/>
    </row>
    <row r="129">
      <c r="A129" s="74"/>
      <c r="B129" s="81"/>
      <c r="C129" s="81"/>
      <c r="D129" s="81"/>
      <c r="E129" s="81"/>
      <c r="F129" s="74"/>
      <c r="G129" s="81"/>
      <c r="H129" s="81"/>
      <c r="I129" s="81"/>
      <c r="J129" s="81"/>
      <c r="K129" s="74"/>
      <c r="L129" s="81"/>
      <c r="M129" s="81"/>
      <c r="N129" s="81"/>
      <c r="O129" s="81"/>
      <c r="P129" s="74"/>
    </row>
    <row r="130">
      <c r="A130" s="74"/>
      <c r="B130" s="81"/>
      <c r="C130" s="81"/>
      <c r="D130" s="81"/>
      <c r="E130" s="81"/>
      <c r="F130" s="74"/>
      <c r="G130" s="81"/>
      <c r="H130" s="81"/>
      <c r="I130" s="81"/>
      <c r="J130" s="81"/>
      <c r="K130" s="74"/>
      <c r="L130" s="81"/>
      <c r="M130" s="81"/>
      <c r="N130" s="81"/>
      <c r="O130" s="81"/>
      <c r="P130" s="74"/>
    </row>
    <row r="131">
      <c r="A131" s="74"/>
      <c r="B131" s="81"/>
      <c r="C131" s="81"/>
      <c r="D131" s="81"/>
      <c r="E131" s="81"/>
      <c r="F131" s="74"/>
      <c r="G131" s="81"/>
      <c r="H131" s="81"/>
      <c r="I131" s="81"/>
      <c r="J131" s="81"/>
      <c r="K131" s="74"/>
      <c r="L131" s="81"/>
      <c r="M131" s="81"/>
      <c r="N131" s="81"/>
      <c r="O131" s="81"/>
      <c r="P131" s="74"/>
    </row>
    <row r="132">
      <c r="A132" s="74"/>
      <c r="B132" s="81"/>
      <c r="C132" s="81"/>
      <c r="D132" s="81"/>
      <c r="E132" s="81"/>
      <c r="F132" s="74"/>
      <c r="G132" s="81"/>
      <c r="H132" s="81"/>
      <c r="I132" s="81"/>
      <c r="J132" s="81"/>
      <c r="K132" s="74"/>
      <c r="L132" s="81"/>
      <c r="M132" s="81"/>
      <c r="N132" s="81"/>
      <c r="O132" s="81"/>
      <c r="P132" s="74"/>
    </row>
    <row r="133">
      <c r="A133" s="74"/>
      <c r="B133" s="81"/>
      <c r="C133" s="81"/>
      <c r="D133" s="81"/>
      <c r="E133" s="81"/>
      <c r="F133" s="74"/>
      <c r="G133" s="81"/>
      <c r="H133" s="81"/>
      <c r="I133" s="81"/>
      <c r="J133" s="81"/>
      <c r="K133" s="74"/>
      <c r="L133" s="81"/>
      <c r="M133" s="81"/>
      <c r="N133" s="81"/>
      <c r="O133" s="81"/>
      <c r="P133" s="74"/>
    </row>
    <row r="134">
      <c r="A134" s="74"/>
      <c r="B134" s="81"/>
      <c r="C134" s="81"/>
      <c r="D134" s="81"/>
      <c r="E134" s="81"/>
      <c r="F134" s="74"/>
      <c r="G134" s="81"/>
      <c r="H134" s="81"/>
      <c r="I134" s="81"/>
      <c r="J134" s="81"/>
      <c r="K134" s="74"/>
      <c r="L134" s="81"/>
      <c r="M134" s="81"/>
      <c r="N134" s="81"/>
      <c r="O134" s="81"/>
      <c r="P134" s="74"/>
    </row>
    <row r="135">
      <c r="A135" s="74"/>
      <c r="B135" s="81"/>
      <c r="C135" s="81"/>
      <c r="D135" s="81"/>
      <c r="E135" s="81"/>
      <c r="F135" s="74"/>
      <c r="G135" s="81"/>
      <c r="H135" s="81"/>
      <c r="I135" s="81"/>
      <c r="J135" s="81"/>
      <c r="K135" s="74"/>
      <c r="L135" s="81"/>
      <c r="M135" s="81"/>
      <c r="N135" s="81"/>
      <c r="O135" s="81"/>
      <c r="P135" s="74"/>
    </row>
    <row r="136">
      <c r="A136" s="74"/>
      <c r="B136" s="81"/>
      <c r="C136" s="81"/>
      <c r="D136" s="81"/>
      <c r="E136" s="81"/>
      <c r="F136" s="74"/>
      <c r="G136" s="81"/>
      <c r="H136" s="81"/>
      <c r="I136" s="81"/>
      <c r="J136" s="81"/>
      <c r="K136" s="74"/>
      <c r="L136" s="81"/>
      <c r="M136" s="81"/>
      <c r="N136" s="81"/>
      <c r="O136" s="81"/>
      <c r="P136" s="74"/>
    </row>
    <row r="137">
      <c r="A137" s="74"/>
      <c r="B137" s="81"/>
      <c r="C137" s="81"/>
      <c r="D137" s="81"/>
      <c r="E137" s="81"/>
      <c r="F137" s="74"/>
      <c r="G137" s="81"/>
      <c r="H137" s="81"/>
      <c r="I137" s="81"/>
      <c r="J137" s="81"/>
      <c r="K137" s="74"/>
      <c r="L137" s="81"/>
      <c r="M137" s="81"/>
      <c r="N137" s="81"/>
      <c r="O137" s="81"/>
      <c r="P137" s="74"/>
    </row>
    <row r="138">
      <c r="A138" s="74"/>
      <c r="B138" s="81"/>
      <c r="C138" s="81"/>
      <c r="D138" s="81"/>
      <c r="E138" s="81"/>
      <c r="F138" s="74"/>
      <c r="G138" s="81"/>
      <c r="H138" s="81"/>
      <c r="I138" s="81"/>
      <c r="J138" s="81"/>
      <c r="K138" s="74"/>
      <c r="L138" s="81"/>
      <c r="M138" s="81"/>
      <c r="N138" s="81"/>
      <c r="O138" s="81"/>
      <c r="P138" s="74"/>
    </row>
    <row r="139">
      <c r="A139" s="74"/>
      <c r="B139" s="81"/>
      <c r="C139" s="81"/>
      <c r="D139" s="81"/>
      <c r="E139" s="81"/>
      <c r="F139" s="74"/>
      <c r="G139" s="81"/>
      <c r="H139" s="81"/>
      <c r="I139" s="81"/>
      <c r="J139" s="81"/>
      <c r="K139" s="74"/>
      <c r="L139" s="81"/>
      <c r="M139" s="81"/>
      <c r="N139" s="81"/>
      <c r="O139" s="81"/>
      <c r="P139" s="74"/>
    </row>
    <row r="140">
      <c r="A140" s="74"/>
      <c r="B140" s="81"/>
      <c r="C140" s="81"/>
      <c r="D140" s="81"/>
      <c r="E140" s="81"/>
      <c r="F140" s="74"/>
      <c r="G140" s="81"/>
      <c r="H140" s="81"/>
      <c r="I140" s="81"/>
      <c r="J140" s="81"/>
      <c r="K140" s="74"/>
      <c r="L140" s="81"/>
      <c r="M140" s="81"/>
      <c r="N140" s="81"/>
      <c r="O140" s="81"/>
      <c r="P140" s="74"/>
    </row>
    <row r="141">
      <c r="A141" s="74"/>
      <c r="B141" s="81"/>
      <c r="C141" s="81"/>
      <c r="D141" s="81"/>
      <c r="E141" s="81"/>
      <c r="F141" s="74"/>
      <c r="G141" s="81"/>
      <c r="H141" s="81"/>
      <c r="I141" s="81"/>
      <c r="J141" s="81"/>
      <c r="K141" s="74"/>
      <c r="L141" s="81"/>
      <c r="M141" s="81"/>
      <c r="N141" s="81"/>
      <c r="O141" s="81"/>
      <c r="P141" s="74"/>
    </row>
    <row r="142">
      <c r="A142" s="74"/>
      <c r="B142" s="81"/>
      <c r="C142" s="81"/>
      <c r="D142" s="81"/>
      <c r="E142" s="81"/>
      <c r="F142" s="74"/>
      <c r="G142" s="81"/>
      <c r="H142" s="81"/>
      <c r="I142" s="81"/>
      <c r="J142" s="81"/>
      <c r="K142" s="74"/>
      <c r="L142" s="81"/>
      <c r="M142" s="81"/>
      <c r="N142" s="81"/>
      <c r="O142" s="81"/>
      <c r="P142" s="74"/>
    </row>
    <row r="143">
      <c r="A143" s="74"/>
      <c r="B143" s="81"/>
      <c r="C143" s="81"/>
      <c r="D143" s="81"/>
      <c r="E143" s="81"/>
      <c r="F143" s="74"/>
      <c r="G143" s="81"/>
      <c r="H143" s="81"/>
      <c r="I143" s="81"/>
      <c r="J143" s="81"/>
      <c r="K143" s="74"/>
      <c r="L143" s="81"/>
      <c r="M143" s="81"/>
      <c r="N143" s="81"/>
      <c r="O143" s="81"/>
      <c r="P143" s="74"/>
    </row>
    <row r="144">
      <c r="A144" s="74"/>
      <c r="B144" s="81"/>
      <c r="C144" s="81"/>
      <c r="D144" s="81"/>
      <c r="E144" s="81"/>
      <c r="F144" s="74"/>
      <c r="G144" s="81"/>
      <c r="H144" s="81"/>
      <c r="I144" s="81"/>
      <c r="J144" s="81"/>
      <c r="K144" s="74"/>
      <c r="L144" s="81"/>
      <c r="M144" s="81"/>
      <c r="N144" s="81"/>
      <c r="O144" s="81"/>
      <c r="P144" s="74"/>
    </row>
    <row r="145">
      <c r="A145" s="74"/>
      <c r="B145" s="81"/>
      <c r="C145" s="81"/>
      <c r="D145" s="81"/>
      <c r="E145" s="81"/>
      <c r="F145" s="74"/>
      <c r="G145" s="81"/>
      <c r="H145" s="81"/>
      <c r="I145" s="81"/>
      <c r="J145" s="81"/>
      <c r="K145" s="74"/>
      <c r="L145" s="81"/>
      <c r="M145" s="81"/>
      <c r="N145" s="81"/>
      <c r="O145" s="81"/>
      <c r="P145" s="74"/>
    </row>
    <row r="146">
      <c r="A146" s="74"/>
      <c r="B146" s="81"/>
      <c r="C146" s="81"/>
      <c r="D146" s="81"/>
      <c r="E146" s="81"/>
      <c r="F146" s="74"/>
      <c r="G146" s="81"/>
      <c r="H146" s="81"/>
      <c r="I146" s="81"/>
      <c r="J146" s="81"/>
      <c r="K146" s="74"/>
      <c r="L146" s="81"/>
      <c r="M146" s="81"/>
      <c r="N146" s="81"/>
      <c r="O146" s="81"/>
      <c r="P146" s="74"/>
    </row>
    <row r="147">
      <c r="A147" s="74"/>
      <c r="B147" s="81"/>
      <c r="C147" s="81"/>
      <c r="D147" s="81"/>
      <c r="E147" s="81"/>
      <c r="F147" s="74"/>
      <c r="G147" s="81"/>
      <c r="H147" s="81"/>
      <c r="I147" s="81"/>
      <c r="J147" s="81"/>
      <c r="K147" s="74"/>
      <c r="L147" s="81"/>
      <c r="M147" s="81"/>
      <c r="N147" s="81"/>
      <c r="O147" s="81"/>
      <c r="P147" s="74"/>
    </row>
    <row r="148">
      <c r="A148" s="74"/>
      <c r="B148" s="81"/>
      <c r="C148" s="81"/>
      <c r="D148" s="81"/>
      <c r="E148" s="81"/>
      <c r="F148" s="74"/>
      <c r="G148" s="81"/>
      <c r="H148" s="81"/>
      <c r="I148" s="81"/>
      <c r="J148" s="81"/>
      <c r="K148" s="74"/>
      <c r="L148" s="81"/>
      <c r="M148" s="81"/>
      <c r="N148" s="81"/>
      <c r="O148" s="81"/>
      <c r="P148" s="74"/>
    </row>
    <row r="149">
      <c r="A149" s="74"/>
      <c r="B149" s="81"/>
      <c r="C149" s="81"/>
      <c r="D149" s="81"/>
      <c r="E149" s="81"/>
      <c r="F149" s="74"/>
      <c r="G149" s="81"/>
      <c r="H149" s="81"/>
      <c r="I149" s="81"/>
      <c r="J149" s="81"/>
      <c r="K149" s="74"/>
      <c r="L149" s="81"/>
      <c r="M149" s="81"/>
      <c r="N149" s="81"/>
      <c r="O149" s="81"/>
      <c r="P149" s="74"/>
    </row>
    <row r="150">
      <c r="A150" s="74"/>
      <c r="B150" s="81"/>
      <c r="C150" s="81"/>
      <c r="D150" s="81"/>
      <c r="E150" s="81"/>
      <c r="F150" s="74"/>
      <c r="G150" s="81"/>
      <c r="H150" s="81"/>
      <c r="I150" s="81"/>
      <c r="J150" s="81"/>
      <c r="K150" s="74"/>
      <c r="L150" s="81"/>
      <c r="M150" s="81"/>
      <c r="N150" s="81"/>
      <c r="O150" s="81"/>
      <c r="P150" s="74"/>
    </row>
    <row r="151">
      <c r="A151" s="74"/>
      <c r="B151" s="81"/>
      <c r="C151" s="81"/>
      <c r="D151" s="81"/>
      <c r="E151" s="81"/>
      <c r="F151" s="74"/>
      <c r="G151" s="81"/>
      <c r="H151" s="81"/>
      <c r="I151" s="81"/>
      <c r="J151" s="81"/>
      <c r="K151" s="74"/>
      <c r="L151" s="81"/>
      <c r="M151" s="81"/>
      <c r="N151" s="81"/>
      <c r="O151" s="81"/>
      <c r="P151" s="74"/>
    </row>
    <row r="152">
      <c r="A152" s="74"/>
      <c r="B152" s="81"/>
      <c r="C152" s="81"/>
      <c r="D152" s="81"/>
      <c r="E152" s="81"/>
      <c r="F152" s="74"/>
      <c r="G152" s="81"/>
      <c r="H152" s="81"/>
      <c r="I152" s="81"/>
      <c r="J152" s="81"/>
      <c r="K152" s="74"/>
      <c r="L152" s="81"/>
      <c r="M152" s="81"/>
      <c r="N152" s="81"/>
      <c r="O152" s="81"/>
      <c r="P152" s="74"/>
    </row>
    <row r="153">
      <c r="A153" s="74"/>
      <c r="B153" s="81"/>
      <c r="C153" s="81"/>
      <c r="D153" s="81"/>
      <c r="E153" s="81"/>
      <c r="F153" s="74"/>
      <c r="G153" s="81"/>
      <c r="H153" s="81"/>
      <c r="I153" s="81"/>
      <c r="J153" s="81"/>
      <c r="K153" s="74"/>
      <c r="L153" s="81"/>
      <c r="M153" s="81"/>
      <c r="N153" s="81"/>
      <c r="O153" s="81"/>
      <c r="P153" s="74"/>
    </row>
    <row r="154">
      <c r="A154" s="74"/>
      <c r="B154" s="81"/>
      <c r="C154" s="81"/>
      <c r="D154" s="81"/>
      <c r="E154" s="81"/>
      <c r="F154" s="74"/>
      <c r="G154" s="81"/>
      <c r="H154" s="81"/>
      <c r="I154" s="81"/>
      <c r="J154" s="81"/>
      <c r="K154" s="74"/>
      <c r="L154" s="81"/>
      <c r="M154" s="81"/>
      <c r="N154" s="81"/>
      <c r="O154" s="81"/>
      <c r="P154" s="74"/>
    </row>
    <row r="155">
      <c r="A155" s="74"/>
      <c r="B155" s="81"/>
      <c r="C155" s="81"/>
      <c r="D155" s="81"/>
      <c r="E155" s="81"/>
      <c r="F155" s="74"/>
      <c r="G155" s="81"/>
      <c r="H155" s="81"/>
      <c r="I155" s="81"/>
      <c r="J155" s="81"/>
      <c r="K155" s="74"/>
      <c r="L155" s="81"/>
      <c r="M155" s="81"/>
      <c r="N155" s="81"/>
      <c r="O155" s="81"/>
      <c r="P155" s="74"/>
    </row>
    <row r="156">
      <c r="A156" s="74"/>
      <c r="B156" s="81"/>
      <c r="C156" s="81"/>
      <c r="D156" s="81"/>
      <c r="E156" s="81"/>
      <c r="F156" s="74"/>
      <c r="G156" s="81"/>
      <c r="H156" s="81"/>
      <c r="I156" s="81"/>
      <c r="J156" s="81"/>
      <c r="K156" s="74"/>
      <c r="L156" s="81"/>
      <c r="M156" s="81"/>
      <c r="N156" s="81"/>
      <c r="O156" s="81"/>
      <c r="P156" s="74"/>
    </row>
    <row r="157">
      <c r="A157" s="74"/>
      <c r="B157" s="81"/>
      <c r="C157" s="81"/>
      <c r="D157" s="81"/>
      <c r="E157" s="81"/>
      <c r="F157" s="74"/>
      <c r="G157" s="81"/>
      <c r="H157" s="81"/>
      <c r="I157" s="81"/>
      <c r="J157" s="81"/>
      <c r="K157" s="74"/>
      <c r="L157" s="81"/>
      <c r="M157" s="81"/>
      <c r="N157" s="81"/>
      <c r="O157" s="81"/>
      <c r="P157" s="74"/>
    </row>
    <row r="158">
      <c r="A158" s="74"/>
      <c r="B158" s="81"/>
      <c r="C158" s="81"/>
      <c r="D158" s="81"/>
      <c r="E158" s="81"/>
      <c r="F158" s="74"/>
      <c r="G158" s="81"/>
      <c r="H158" s="81"/>
      <c r="I158" s="81"/>
      <c r="J158" s="81"/>
      <c r="K158" s="74"/>
      <c r="L158" s="81"/>
      <c r="M158" s="81"/>
      <c r="N158" s="81"/>
      <c r="O158" s="81"/>
      <c r="P158" s="74"/>
    </row>
    <row r="159">
      <c r="A159" s="74"/>
      <c r="B159" s="81"/>
      <c r="C159" s="81"/>
      <c r="D159" s="81"/>
      <c r="E159" s="81"/>
      <c r="F159" s="74"/>
      <c r="G159" s="81"/>
      <c r="H159" s="81"/>
      <c r="I159" s="81"/>
      <c r="J159" s="81"/>
      <c r="K159" s="74"/>
      <c r="L159" s="81"/>
      <c r="M159" s="81"/>
      <c r="N159" s="81"/>
      <c r="O159" s="81"/>
      <c r="P159" s="74"/>
    </row>
    <row r="160">
      <c r="A160" s="74"/>
      <c r="B160" s="81"/>
      <c r="C160" s="81"/>
      <c r="D160" s="81"/>
      <c r="E160" s="81"/>
      <c r="F160" s="74"/>
      <c r="G160" s="81"/>
      <c r="H160" s="81"/>
      <c r="I160" s="81"/>
      <c r="J160" s="81"/>
      <c r="K160" s="74"/>
      <c r="L160" s="81"/>
      <c r="M160" s="81"/>
      <c r="N160" s="81"/>
      <c r="O160" s="81"/>
      <c r="P160" s="74"/>
    </row>
    <row r="161">
      <c r="A161" s="74"/>
      <c r="B161" s="81"/>
      <c r="C161" s="81"/>
      <c r="D161" s="81"/>
      <c r="E161" s="81"/>
      <c r="F161" s="74"/>
      <c r="G161" s="81"/>
      <c r="H161" s="81"/>
      <c r="I161" s="81"/>
      <c r="J161" s="81"/>
      <c r="K161" s="74"/>
      <c r="L161" s="81"/>
      <c r="M161" s="81"/>
      <c r="N161" s="81"/>
      <c r="O161" s="81"/>
      <c r="P161" s="74"/>
    </row>
    <row r="162">
      <c r="A162" s="74"/>
      <c r="B162" s="81"/>
      <c r="C162" s="81"/>
      <c r="D162" s="81"/>
      <c r="E162" s="81"/>
      <c r="F162" s="74"/>
      <c r="G162" s="81"/>
      <c r="H162" s="81"/>
      <c r="I162" s="81"/>
      <c r="J162" s="81"/>
      <c r="K162" s="74"/>
      <c r="L162" s="81"/>
      <c r="M162" s="81"/>
      <c r="N162" s="81"/>
      <c r="O162" s="81"/>
      <c r="P162" s="74"/>
    </row>
    <row r="163">
      <c r="A163" s="74"/>
      <c r="B163" s="81"/>
      <c r="C163" s="81"/>
      <c r="D163" s="81"/>
      <c r="E163" s="81"/>
      <c r="F163" s="74"/>
      <c r="G163" s="81"/>
      <c r="H163" s="81"/>
      <c r="I163" s="81"/>
      <c r="J163" s="81"/>
      <c r="K163" s="74"/>
      <c r="L163" s="81"/>
      <c r="M163" s="81"/>
      <c r="N163" s="81"/>
      <c r="O163" s="81"/>
      <c r="P163" s="74"/>
    </row>
    <row r="164">
      <c r="A164" s="74"/>
      <c r="B164" s="81"/>
      <c r="C164" s="81"/>
      <c r="D164" s="81"/>
      <c r="E164" s="81"/>
      <c r="F164" s="74"/>
      <c r="G164" s="81"/>
      <c r="H164" s="81"/>
      <c r="I164" s="81"/>
      <c r="J164" s="81"/>
      <c r="K164" s="74"/>
      <c r="L164" s="81"/>
      <c r="M164" s="81"/>
      <c r="N164" s="81"/>
      <c r="O164" s="81"/>
      <c r="P164" s="74"/>
    </row>
    <row r="165">
      <c r="A165" s="74"/>
      <c r="B165" s="81"/>
      <c r="C165" s="81"/>
      <c r="D165" s="81"/>
      <c r="E165" s="81"/>
      <c r="F165" s="74"/>
      <c r="G165" s="81"/>
      <c r="H165" s="81"/>
      <c r="I165" s="81"/>
      <c r="J165" s="81"/>
      <c r="K165" s="74"/>
      <c r="L165" s="81"/>
      <c r="M165" s="81"/>
      <c r="N165" s="81"/>
      <c r="O165" s="81"/>
      <c r="P165" s="74"/>
    </row>
    <row r="166">
      <c r="A166" s="74"/>
      <c r="B166" s="81"/>
      <c r="C166" s="81"/>
      <c r="D166" s="81"/>
      <c r="E166" s="81"/>
      <c r="F166" s="74"/>
      <c r="G166" s="81"/>
      <c r="H166" s="81"/>
      <c r="I166" s="81"/>
      <c r="J166" s="81"/>
      <c r="K166" s="74"/>
      <c r="L166" s="81"/>
      <c r="M166" s="81"/>
      <c r="N166" s="81"/>
      <c r="O166" s="81"/>
      <c r="P166" s="74"/>
    </row>
    <row r="167">
      <c r="A167" s="74"/>
      <c r="B167" s="81"/>
      <c r="C167" s="81"/>
      <c r="D167" s="81"/>
      <c r="E167" s="81"/>
      <c r="F167" s="74"/>
      <c r="G167" s="81"/>
      <c r="H167" s="81"/>
      <c r="I167" s="81"/>
      <c r="J167" s="81"/>
      <c r="K167" s="74"/>
      <c r="L167" s="81"/>
      <c r="M167" s="81"/>
      <c r="N167" s="81"/>
      <c r="O167" s="81"/>
      <c r="P167" s="74"/>
    </row>
    <row r="168">
      <c r="A168" s="74"/>
      <c r="B168" s="81"/>
      <c r="C168" s="81"/>
      <c r="D168" s="81"/>
      <c r="E168" s="81"/>
      <c r="F168" s="74"/>
      <c r="G168" s="81"/>
      <c r="H168" s="81"/>
      <c r="I168" s="81"/>
      <c r="J168" s="81"/>
      <c r="K168" s="74"/>
      <c r="L168" s="81"/>
      <c r="M168" s="81"/>
      <c r="N168" s="81"/>
      <c r="O168" s="81"/>
      <c r="P168" s="74"/>
    </row>
    <row r="169">
      <c r="A169" s="74"/>
      <c r="B169" s="81"/>
      <c r="C169" s="81"/>
      <c r="D169" s="81"/>
      <c r="E169" s="81"/>
      <c r="F169" s="74"/>
      <c r="G169" s="81"/>
      <c r="H169" s="81"/>
      <c r="I169" s="81"/>
      <c r="J169" s="81"/>
      <c r="K169" s="74"/>
      <c r="L169" s="81"/>
      <c r="M169" s="81"/>
      <c r="N169" s="81"/>
      <c r="O169" s="81"/>
      <c r="P169" s="74"/>
    </row>
    <row r="170">
      <c r="A170" s="74"/>
      <c r="B170" s="81"/>
      <c r="C170" s="81"/>
      <c r="D170" s="81"/>
      <c r="E170" s="81"/>
      <c r="F170" s="74"/>
      <c r="G170" s="81"/>
      <c r="H170" s="81"/>
      <c r="I170" s="81"/>
      <c r="J170" s="81"/>
      <c r="K170" s="74"/>
      <c r="L170" s="81"/>
      <c r="M170" s="81"/>
      <c r="N170" s="81"/>
      <c r="O170" s="81"/>
      <c r="P170" s="74"/>
    </row>
    <row r="171">
      <c r="A171" s="74"/>
      <c r="B171" s="81"/>
      <c r="C171" s="81"/>
      <c r="D171" s="81"/>
      <c r="E171" s="81"/>
      <c r="F171" s="74"/>
      <c r="G171" s="81"/>
      <c r="H171" s="81"/>
      <c r="I171" s="81"/>
      <c r="J171" s="81"/>
      <c r="K171" s="74"/>
      <c r="L171" s="81"/>
      <c r="M171" s="81"/>
      <c r="N171" s="81"/>
      <c r="O171" s="81"/>
      <c r="P171" s="74"/>
    </row>
    <row r="172">
      <c r="A172" s="74"/>
      <c r="B172" s="81"/>
      <c r="C172" s="81"/>
      <c r="D172" s="81"/>
      <c r="E172" s="81"/>
      <c r="F172" s="74"/>
      <c r="G172" s="81"/>
      <c r="H172" s="81"/>
      <c r="I172" s="81"/>
      <c r="J172" s="81"/>
      <c r="K172" s="74"/>
      <c r="L172" s="81"/>
      <c r="M172" s="81"/>
      <c r="N172" s="81"/>
      <c r="O172" s="81"/>
      <c r="P172" s="74"/>
    </row>
    <row r="173">
      <c r="A173" s="74"/>
      <c r="B173" s="81"/>
      <c r="C173" s="81"/>
      <c r="D173" s="81"/>
      <c r="E173" s="81"/>
      <c r="F173" s="74"/>
      <c r="G173" s="81"/>
      <c r="H173" s="81"/>
      <c r="I173" s="81"/>
      <c r="J173" s="81"/>
      <c r="K173" s="74"/>
      <c r="L173" s="81"/>
      <c r="M173" s="81"/>
      <c r="N173" s="81"/>
      <c r="O173" s="81"/>
      <c r="P173" s="74"/>
    </row>
    <row r="174">
      <c r="A174" s="74"/>
      <c r="B174" s="81"/>
      <c r="C174" s="81"/>
      <c r="D174" s="81"/>
      <c r="E174" s="81"/>
      <c r="F174" s="74"/>
      <c r="G174" s="81"/>
      <c r="H174" s="81"/>
      <c r="I174" s="81"/>
      <c r="J174" s="81"/>
      <c r="K174" s="74"/>
      <c r="L174" s="81"/>
      <c r="M174" s="81"/>
      <c r="N174" s="81"/>
      <c r="O174" s="81"/>
      <c r="P174" s="74"/>
    </row>
    <row r="175">
      <c r="A175" s="74"/>
      <c r="B175" s="81"/>
      <c r="C175" s="81"/>
      <c r="D175" s="81"/>
      <c r="E175" s="81"/>
      <c r="F175" s="74"/>
      <c r="G175" s="81"/>
      <c r="H175" s="81"/>
      <c r="I175" s="81"/>
      <c r="J175" s="81"/>
      <c r="K175" s="74"/>
      <c r="L175" s="81"/>
      <c r="M175" s="81"/>
      <c r="N175" s="81"/>
      <c r="O175" s="81"/>
      <c r="P175" s="74"/>
    </row>
    <row r="176">
      <c r="A176" s="74"/>
      <c r="B176" s="81"/>
      <c r="C176" s="81"/>
      <c r="D176" s="81"/>
      <c r="E176" s="81"/>
      <c r="F176" s="74"/>
      <c r="G176" s="81"/>
      <c r="H176" s="81"/>
      <c r="I176" s="81"/>
      <c r="J176" s="81"/>
      <c r="K176" s="74"/>
      <c r="L176" s="81"/>
      <c r="M176" s="81"/>
      <c r="N176" s="81"/>
      <c r="O176" s="81"/>
      <c r="P176" s="74"/>
    </row>
    <row r="177">
      <c r="A177" s="74"/>
      <c r="B177" s="81"/>
      <c r="C177" s="81"/>
      <c r="D177" s="81"/>
      <c r="E177" s="81"/>
      <c r="F177" s="74"/>
      <c r="G177" s="81"/>
      <c r="H177" s="81"/>
      <c r="I177" s="81"/>
      <c r="J177" s="81"/>
      <c r="K177" s="74"/>
      <c r="L177" s="81"/>
      <c r="M177" s="81"/>
      <c r="N177" s="81"/>
      <c r="O177" s="81"/>
      <c r="P177" s="74"/>
    </row>
    <row r="178">
      <c r="A178" s="74"/>
      <c r="B178" s="81"/>
      <c r="C178" s="81"/>
      <c r="D178" s="81"/>
      <c r="E178" s="81"/>
      <c r="F178" s="74"/>
      <c r="G178" s="81"/>
      <c r="H178" s="81"/>
      <c r="I178" s="81"/>
      <c r="J178" s="81"/>
      <c r="K178" s="74"/>
      <c r="L178" s="81"/>
      <c r="M178" s="81"/>
      <c r="N178" s="81"/>
      <c r="O178" s="81"/>
      <c r="P178" s="74"/>
    </row>
    <row r="179">
      <c r="A179" s="74"/>
      <c r="B179" s="81"/>
      <c r="C179" s="81"/>
      <c r="D179" s="81"/>
      <c r="E179" s="81"/>
      <c r="F179" s="74"/>
      <c r="G179" s="81"/>
      <c r="H179" s="81"/>
      <c r="I179" s="81"/>
      <c r="J179" s="81"/>
      <c r="K179" s="74"/>
      <c r="L179" s="81"/>
      <c r="M179" s="81"/>
      <c r="N179" s="81"/>
      <c r="O179" s="81"/>
      <c r="P179" s="74"/>
    </row>
    <row r="180">
      <c r="A180" s="74"/>
      <c r="B180" s="81"/>
      <c r="C180" s="81"/>
      <c r="D180" s="81"/>
      <c r="E180" s="81"/>
      <c r="F180" s="74"/>
      <c r="G180" s="81"/>
      <c r="H180" s="81"/>
      <c r="I180" s="81"/>
      <c r="J180" s="81"/>
      <c r="K180" s="74"/>
      <c r="L180" s="81"/>
      <c r="M180" s="81"/>
      <c r="N180" s="81"/>
      <c r="O180" s="81"/>
      <c r="P180" s="74"/>
    </row>
    <row r="181">
      <c r="A181" s="74"/>
      <c r="B181" s="81"/>
      <c r="C181" s="81"/>
      <c r="D181" s="81"/>
      <c r="E181" s="81"/>
      <c r="F181" s="74"/>
      <c r="G181" s="81"/>
      <c r="H181" s="81"/>
      <c r="I181" s="81"/>
      <c r="J181" s="81"/>
      <c r="K181" s="74"/>
      <c r="L181" s="81"/>
      <c r="M181" s="81"/>
      <c r="N181" s="81"/>
      <c r="O181" s="81"/>
      <c r="P181" s="74"/>
    </row>
    <row r="182">
      <c r="A182" s="74"/>
      <c r="B182" s="81"/>
      <c r="C182" s="81"/>
      <c r="D182" s="81"/>
      <c r="E182" s="81"/>
      <c r="F182" s="74"/>
      <c r="G182" s="81"/>
      <c r="H182" s="81"/>
      <c r="I182" s="81"/>
      <c r="J182" s="81"/>
      <c r="K182" s="74"/>
      <c r="L182" s="81"/>
      <c r="M182" s="81"/>
      <c r="N182" s="81"/>
      <c r="O182" s="81"/>
      <c r="P182" s="74"/>
    </row>
    <row r="183">
      <c r="A183" s="74"/>
      <c r="B183" s="81"/>
      <c r="C183" s="81"/>
      <c r="D183" s="81"/>
      <c r="E183" s="81"/>
      <c r="F183" s="74"/>
      <c r="G183" s="81"/>
      <c r="H183" s="81"/>
      <c r="I183" s="81"/>
      <c r="J183" s="81"/>
      <c r="K183" s="74"/>
      <c r="L183" s="81"/>
      <c r="M183" s="81"/>
      <c r="N183" s="81"/>
      <c r="O183" s="81"/>
      <c r="P183" s="74"/>
    </row>
    <row r="184">
      <c r="A184" s="74"/>
      <c r="B184" s="81"/>
      <c r="C184" s="81"/>
      <c r="D184" s="81"/>
      <c r="E184" s="81"/>
      <c r="F184" s="74"/>
      <c r="G184" s="81"/>
      <c r="H184" s="81"/>
      <c r="I184" s="81"/>
      <c r="J184" s="81"/>
      <c r="K184" s="74"/>
      <c r="L184" s="81"/>
      <c r="M184" s="81"/>
      <c r="N184" s="81"/>
      <c r="O184" s="81"/>
      <c r="P184" s="74"/>
    </row>
    <row r="185">
      <c r="A185" s="74"/>
      <c r="B185" s="81"/>
      <c r="C185" s="81"/>
      <c r="D185" s="81"/>
      <c r="E185" s="81"/>
      <c r="F185" s="74"/>
      <c r="G185" s="81"/>
      <c r="H185" s="81"/>
      <c r="I185" s="81"/>
      <c r="J185" s="81"/>
      <c r="K185" s="74"/>
      <c r="L185" s="81"/>
      <c r="M185" s="81"/>
      <c r="N185" s="81"/>
      <c r="O185" s="81"/>
      <c r="P185" s="74"/>
    </row>
    <row r="186">
      <c r="A186" s="74"/>
      <c r="B186" s="81"/>
      <c r="C186" s="81"/>
      <c r="D186" s="81"/>
      <c r="E186" s="81"/>
      <c r="F186" s="74"/>
      <c r="G186" s="81"/>
      <c r="H186" s="81"/>
      <c r="I186" s="81"/>
      <c r="J186" s="81"/>
      <c r="K186" s="74"/>
      <c r="L186" s="81"/>
      <c r="M186" s="81"/>
      <c r="N186" s="81"/>
      <c r="O186" s="81"/>
      <c r="P186" s="74"/>
    </row>
    <row r="187">
      <c r="A187" s="74"/>
      <c r="B187" s="81"/>
      <c r="C187" s="81"/>
      <c r="D187" s="81"/>
      <c r="E187" s="81"/>
      <c r="F187" s="74"/>
      <c r="G187" s="81"/>
      <c r="H187" s="81"/>
      <c r="I187" s="81"/>
      <c r="J187" s="81"/>
      <c r="K187" s="74"/>
      <c r="L187" s="81"/>
      <c r="M187" s="81"/>
      <c r="N187" s="81"/>
      <c r="O187" s="81"/>
      <c r="P187" s="74"/>
    </row>
    <row r="188">
      <c r="A188" s="74"/>
      <c r="B188" s="81"/>
      <c r="C188" s="81"/>
      <c r="D188" s="81"/>
      <c r="E188" s="81"/>
      <c r="F188" s="74"/>
      <c r="G188" s="81"/>
      <c r="H188" s="81"/>
      <c r="I188" s="81"/>
      <c r="J188" s="81"/>
      <c r="K188" s="74"/>
      <c r="L188" s="81"/>
      <c r="M188" s="81"/>
      <c r="N188" s="81"/>
      <c r="O188" s="81"/>
      <c r="P188" s="74"/>
    </row>
    <row r="189">
      <c r="A189" s="74"/>
      <c r="B189" s="81"/>
      <c r="C189" s="81"/>
      <c r="D189" s="81"/>
      <c r="E189" s="81"/>
      <c r="F189" s="74"/>
      <c r="G189" s="81"/>
      <c r="H189" s="81"/>
      <c r="I189" s="81"/>
      <c r="J189" s="81"/>
      <c r="K189" s="74"/>
      <c r="L189" s="81"/>
      <c r="M189" s="81"/>
      <c r="N189" s="81"/>
      <c r="O189" s="81"/>
      <c r="P189" s="74"/>
    </row>
    <row r="190">
      <c r="A190" s="74"/>
      <c r="B190" s="81"/>
      <c r="C190" s="81"/>
      <c r="D190" s="81"/>
      <c r="E190" s="81"/>
      <c r="F190" s="74"/>
      <c r="G190" s="81"/>
      <c r="H190" s="81"/>
      <c r="I190" s="81"/>
      <c r="J190" s="81"/>
      <c r="K190" s="74"/>
      <c r="L190" s="81"/>
      <c r="M190" s="81"/>
      <c r="N190" s="81"/>
      <c r="O190" s="81"/>
      <c r="P190" s="74"/>
    </row>
    <row r="191">
      <c r="A191" s="74"/>
      <c r="B191" s="81"/>
      <c r="C191" s="81"/>
      <c r="D191" s="81"/>
      <c r="E191" s="81"/>
      <c r="F191" s="74"/>
      <c r="G191" s="81"/>
      <c r="H191" s="81"/>
      <c r="I191" s="81"/>
      <c r="J191" s="81"/>
      <c r="K191" s="74"/>
      <c r="L191" s="81"/>
      <c r="M191" s="81"/>
      <c r="N191" s="81"/>
      <c r="O191" s="81"/>
      <c r="P191" s="74"/>
    </row>
    <row r="192">
      <c r="A192" s="74"/>
      <c r="B192" s="81"/>
      <c r="C192" s="81"/>
      <c r="D192" s="81"/>
      <c r="E192" s="81"/>
      <c r="F192" s="74"/>
      <c r="G192" s="81"/>
      <c r="H192" s="81"/>
      <c r="I192" s="81"/>
      <c r="J192" s="81"/>
      <c r="K192" s="74"/>
      <c r="L192" s="81"/>
      <c r="M192" s="81"/>
      <c r="N192" s="81"/>
      <c r="O192" s="81"/>
      <c r="P192" s="74"/>
    </row>
    <row r="193">
      <c r="A193" s="74"/>
      <c r="B193" s="81"/>
      <c r="C193" s="81"/>
      <c r="D193" s="81"/>
      <c r="E193" s="81"/>
      <c r="F193" s="74"/>
      <c r="G193" s="81"/>
      <c r="H193" s="81"/>
      <c r="I193" s="81"/>
      <c r="J193" s="81"/>
      <c r="K193" s="74"/>
      <c r="L193" s="81"/>
      <c r="M193" s="81"/>
      <c r="N193" s="81"/>
      <c r="O193" s="81"/>
      <c r="P193" s="74"/>
    </row>
    <row r="194">
      <c r="A194" s="74"/>
      <c r="B194" s="81"/>
      <c r="C194" s="81"/>
      <c r="D194" s="81"/>
      <c r="E194" s="81"/>
      <c r="F194" s="74"/>
      <c r="G194" s="81"/>
      <c r="H194" s="81"/>
      <c r="I194" s="81"/>
      <c r="J194" s="81"/>
      <c r="K194" s="74"/>
      <c r="L194" s="81"/>
      <c r="M194" s="81"/>
      <c r="N194" s="81"/>
      <c r="O194" s="81"/>
      <c r="P194" s="74"/>
    </row>
    <row r="195">
      <c r="A195" s="74"/>
      <c r="B195" s="81"/>
      <c r="C195" s="81"/>
      <c r="D195" s="81"/>
      <c r="E195" s="81"/>
      <c r="F195" s="74"/>
      <c r="G195" s="81"/>
      <c r="H195" s="81"/>
      <c r="I195" s="81"/>
      <c r="J195" s="81"/>
      <c r="K195" s="74"/>
      <c r="L195" s="81"/>
      <c r="M195" s="81"/>
      <c r="N195" s="81"/>
      <c r="O195" s="81"/>
      <c r="P195" s="74"/>
    </row>
    <row r="196">
      <c r="A196" s="74"/>
      <c r="B196" s="81"/>
      <c r="C196" s="81"/>
      <c r="D196" s="81"/>
      <c r="E196" s="81"/>
      <c r="F196" s="74"/>
      <c r="G196" s="81"/>
      <c r="H196" s="81"/>
      <c r="I196" s="81"/>
      <c r="J196" s="81"/>
      <c r="K196" s="74"/>
      <c r="L196" s="81"/>
      <c r="M196" s="81"/>
      <c r="N196" s="81"/>
      <c r="O196" s="81"/>
      <c r="P196" s="74"/>
    </row>
    <row r="197">
      <c r="A197" s="74"/>
      <c r="B197" s="81"/>
      <c r="C197" s="81"/>
      <c r="D197" s="81"/>
      <c r="E197" s="81"/>
      <c r="F197" s="74"/>
      <c r="G197" s="81"/>
      <c r="H197" s="81"/>
      <c r="I197" s="81"/>
      <c r="J197" s="81"/>
      <c r="K197" s="74"/>
      <c r="L197" s="81"/>
      <c r="M197" s="81"/>
      <c r="N197" s="81"/>
      <c r="O197" s="81"/>
      <c r="P197" s="74"/>
    </row>
    <row r="198">
      <c r="A198" s="74"/>
      <c r="B198" s="81"/>
      <c r="C198" s="81"/>
      <c r="D198" s="81"/>
      <c r="E198" s="81"/>
      <c r="F198" s="74"/>
      <c r="G198" s="81"/>
      <c r="H198" s="81"/>
      <c r="I198" s="81"/>
      <c r="J198" s="81"/>
      <c r="K198" s="74"/>
      <c r="L198" s="81"/>
      <c r="M198" s="81"/>
      <c r="N198" s="81"/>
      <c r="O198" s="81"/>
      <c r="P198" s="74"/>
    </row>
    <row r="199">
      <c r="A199" s="74"/>
      <c r="B199" s="81"/>
      <c r="C199" s="81"/>
      <c r="D199" s="81"/>
      <c r="E199" s="81"/>
      <c r="F199" s="74"/>
      <c r="G199" s="81"/>
      <c r="H199" s="81"/>
      <c r="I199" s="81"/>
      <c r="J199" s="81"/>
      <c r="K199" s="74"/>
      <c r="L199" s="81"/>
      <c r="M199" s="81"/>
      <c r="N199" s="81"/>
      <c r="O199" s="81"/>
      <c r="P199" s="74"/>
    </row>
    <row r="200">
      <c r="A200" s="74"/>
      <c r="B200" s="81"/>
      <c r="C200" s="81"/>
      <c r="D200" s="81"/>
      <c r="E200" s="81"/>
      <c r="F200" s="74"/>
      <c r="G200" s="81"/>
      <c r="H200" s="81"/>
      <c r="I200" s="81"/>
      <c r="J200" s="81"/>
      <c r="K200" s="74"/>
      <c r="L200" s="81"/>
      <c r="M200" s="81"/>
      <c r="N200" s="81"/>
      <c r="O200" s="81"/>
      <c r="P200" s="74"/>
    </row>
    <row r="201">
      <c r="A201" s="74"/>
      <c r="B201" s="81"/>
      <c r="C201" s="81"/>
      <c r="D201" s="81"/>
      <c r="E201" s="81"/>
      <c r="F201" s="74"/>
      <c r="G201" s="81"/>
      <c r="H201" s="81"/>
      <c r="I201" s="81"/>
      <c r="J201" s="81"/>
      <c r="K201" s="74"/>
      <c r="L201" s="81"/>
      <c r="M201" s="81"/>
      <c r="N201" s="81"/>
      <c r="O201" s="81"/>
      <c r="P201" s="74"/>
    </row>
    <row r="202">
      <c r="A202" s="74"/>
      <c r="B202" s="81"/>
      <c r="C202" s="81"/>
      <c r="D202" s="81"/>
      <c r="E202" s="81"/>
      <c r="F202" s="74"/>
      <c r="G202" s="81"/>
      <c r="H202" s="81"/>
      <c r="I202" s="81"/>
      <c r="J202" s="81"/>
      <c r="K202" s="74"/>
      <c r="L202" s="81"/>
      <c r="M202" s="81"/>
      <c r="N202" s="81"/>
      <c r="O202" s="81"/>
      <c r="P202" s="74"/>
    </row>
    <row r="203">
      <c r="A203" s="74"/>
      <c r="B203" s="81"/>
      <c r="C203" s="81"/>
      <c r="D203" s="81"/>
      <c r="E203" s="81"/>
      <c r="F203" s="74"/>
      <c r="G203" s="81"/>
      <c r="H203" s="81"/>
      <c r="I203" s="81"/>
      <c r="J203" s="81"/>
      <c r="K203" s="74"/>
      <c r="L203" s="81"/>
      <c r="M203" s="81"/>
      <c r="N203" s="81"/>
      <c r="O203" s="81"/>
      <c r="P203" s="74"/>
    </row>
    <row r="204">
      <c r="A204" s="74"/>
      <c r="B204" s="81"/>
      <c r="C204" s="81"/>
      <c r="D204" s="81"/>
      <c r="E204" s="81"/>
      <c r="F204" s="74"/>
      <c r="G204" s="81"/>
      <c r="H204" s="81"/>
      <c r="I204" s="81"/>
      <c r="J204" s="81"/>
      <c r="K204" s="74"/>
      <c r="L204" s="81"/>
      <c r="M204" s="81"/>
      <c r="N204" s="81"/>
      <c r="O204" s="81"/>
      <c r="P204" s="74"/>
    </row>
    <row r="205">
      <c r="A205" s="74"/>
      <c r="B205" s="81"/>
      <c r="C205" s="81"/>
      <c r="D205" s="81"/>
      <c r="E205" s="81"/>
      <c r="F205" s="74"/>
      <c r="G205" s="81"/>
      <c r="H205" s="81"/>
      <c r="I205" s="81"/>
      <c r="J205" s="81"/>
      <c r="K205" s="74"/>
      <c r="L205" s="81"/>
      <c r="M205" s="81"/>
      <c r="N205" s="81"/>
      <c r="O205" s="81"/>
      <c r="P205" s="74"/>
    </row>
    <row r="206">
      <c r="A206" s="74"/>
      <c r="B206" s="81"/>
      <c r="C206" s="81"/>
      <c r="D206" s="81"/>
      <c r="E206" s="81"/>
      <c r="F206" s="74"/>
      <c r="G206" s="81"/>
      <c r="H206" s="81"/>
      <c r="I206" s="81"/>
      <c r="J206" s="81"/>
      <c r="K206" s="74"/>
      <c r="L206" s="81"/>
      <c r="M206" s="81"/>
      <c r="N206" s="81"/>
      <c r="O206" s="81"/>
      <c r="P206" s="74"/>
    </row>
    <row r="207">
      <c r="A207" s="74"/>
      <c r="B207" s="81"/>
      <c r="C207" s="81"/>
      <c r="D207" s="81"/>
      <c r="E207" s="81"/>
      <c r="F207" s="74"/>
      <c r="G207" s="81"/>
      <c r="H207" s="81"/>
      <c r="I207" s="81"/>
      <c r="J207" s="81"/>
      <c r="K207" s="74"/>
      <c r="L207" s="81"/>
      <c r="M207" s="81"/>
      <c r="N207" s="81"/>
      <c r="O207" s="81"/>
      <c r="P207" s="74"/>
    </row>
    <row r="208">
      <c r="A208" s="74"/>
      <c r="B208" s="81"/>
      <c r="C208" s="81"/>
      <c r="D208" s="81"/>
      <c r="E208" s="81"/>
      <c r="F208" s="74"/>
      <c r="G208" s="81"/>
      <c r="H208" s="81"/>
      <c r="I208" s="81"/>
      <c r="J208" s="81"/>
      <c r="K208" s="74"/>
      <c r="L208" s="81"/>
      <c r="M208" s="81"/>
      <c r="N208" s="81"/>
      <c r="O208" s="81"/>
      <c r="P208" s="74"/>
    </row>
    <row r="209">
      <c r="A209" s="74"/>
      <c r="B209" s="81"/>
      <c r="C209" s="81"/>
      <c r="D209" s="81"/>
      <c r="E209" s="81"/>
      <c r="F209" s="74"/>
      <c r="G209" s="81"/>
      <c r="H209" s="81"/>
      <c r="I209" s="81"/>
      <c r="J209" s="81"/>
      <c r="K209" s="74"/>
      <c r="L209" s="81"/>
      <c r="M209" s="81"/>
      <c r="N209" s="81"/>
      <c r="O209" s="81"/>
      <c r="P209" s="74"/>
    </row>
    <row r="210">
      <c r="A210" s="74"/>
      <c r="B210" s="81"/>
      <c r="C210" s="81"/>
      <c r="D210" s="81"/>
      <c r="E210" s="81"/>
      <c r="F210" s="74"/>
      <c r="G210" s="81"/>
      <c r="H210" s="81"/>
      <c r="I210" s="81"/>
      <c r="J210" s="81"/>
      <c r="K210" s="74"/>
      <c r="L210" s="81"/>
      <c r="M210" s="81"/>
      <c r="N210" s="81"/>
      <c r="O210" s="81"/>
      <c r="P210" s="74"/>
    </row>
    <row r="211">
      <c r="A211" s="74"/>
      <c r="B211" s="81"/>
      <c r="C211" s="81"/>
      <c r="D211" s="81"/>
      <c r="E211" s="81"/>
      <c r="F211" s="74"/>
      <c r="G211" s="81"/>
      <c r="H211" s="81"/>
      <c r="I211" s="81"/>
      <c r="J211" s="81"/>
      <c r="K211" s="74"/>
      <c r="L211" s="81"/>
      <c r="M211" s="81"/>
      <c r="N211" s="81"/>
      <c r="O211" s="81"/>
      <c r="P211" s="74"/>
    </row>
    <row r="212">
      <c r="A212" s="74"/>
      <c r="B212" s="81"/>
      <c r="C212" s="81"/>
      <c r="D212" s="81"/>
      <c r="E212" s="81"/>
      <c r="F212" s="74"/>
      <c r="G212" s="81"/>
      <c r="H212" s="81"/>
      <c r="I212" s="81"/>
      <c r="J212" s="81"/>
      <c r="K212" s="74"/>
      <c r="L212" s="81"/>
      <c r="M212" s="81"/>
      <c r="N212" s="81"/>
      <c r="O212" s="81"/>
      <c r="P212" s="74"/>
    </row>
    <row r="213">
      <c r="A213" s="74"/>
      <c r="B213" s="81"/>
      <c r="C213" s="81"/>
      <c r="D213" s="81"/>
      <c r="E213" s="81"/>
      <c r="F213" s="74"/>
      <c r="G213" s="81"/>
      <c r="H213" s="81"/>
      <c r="I213" s="81"/>
      <c r="J213" s="81"/>
      <c r="K213" s="74"/>
      <c r="L213" s="81"/>
      <c r="M213" s="81"/>
      <c r="N213" s="81"/>
      <c r="O213" s="81"/>
      <c r="P213" s="74"/>
    </row>
    <row r="214">
      <c r="A214" s="74"/>
      <c r="B214" s="81"/>
      <c r="C214" s="81"/>
      <c r="D214" s="81"/>
      <c r="E214" s="81"/>
      <c r="F214" s="74"/>
      <c r="G214" s="81"/>
      <c r="H214" s="81"/>
      <c r="I214" s="81"/>
      <c r="J214" s="81"/>
      <c r="K214" s="74"/>
      <c r="L214" s="81"/>
      <c r="M214" s="81"/>
      <c r="N214" s="81"/>
      <c r="O214" s="81"/>
      <c r="P214" s="74"/>
    </row>
    <row r="215">
      <c r="A215" s="74"/>
      <c r="B215" s="81"/>
      <c r="C215" s="81"/>
      <c r="D215" s="81"/>
      <c r="E215" s="81"/>
      <c r="F215" s="74"/>
      <c r="G215" s="81"/>
      <c r="H215" s="81"/>
      <c r="I215" s="81"/>
      <c r="J215" s="81"/>
      <c r="K215" s="74"/>
      <c r="L215" s="81"/>
      <c r="M215" s="81"/>
      <c r="N215" s="81"/>
      <c r="O215" s="81"/>
      <c r="P215" s="74"/>
    </row>
    <row r="216">
      <c r="A216" s="74"/>
      <c r="B216" s="81"/>
      <c r="C216" s="81"/>
      <c r="D216" s="81"/>
      <c r="E216" s="81"/>
      <c r="F216" s="74"/>
      <c r="G216" s="81"/>
      <c r="H216" s="81"/>
      <c r="I216" s="81"/>
      <c r="J216" s="81"/>
      <c r="K216" s="74"/>
      <c r="L216" s="81"/>
      <c r="M216" s="81"/>
      <c r="N216" s="81"/>
      <c r="O216" s="81"/>
      <c r="P216" s="74"/>
    </row>
    <row r="217">
      <c r="A217" s="74"/>
      <c r="B217" s="81"/>
      <c r="C217" s="81"/>
      <c r="D217" s="81"/>
      <c r="E217" s="81"/>
      <c r="F217" s="74"/>
      <c r="G217" s="81"/>
      <c r="H217" s="81"/>
      <c r="I217" s="81"/>
      <c r="J217" s="81"/>
      <c r="K217" s="74"/>
      <c r="L217" s="81"/>
      <c r="M217" s="81"/>
      <c r="N217" s="81"/>
      <c r="O217" s="81"/>
      <c r="P217" s="74"/>
    </row>
    <row r="218">
      <c r="A218" s="74"/>
      <c r="B218" s="81"/>
      <c r="C218" s="81"/>
      <c r="D218" s="81"/>
      <c r="E218" s="81"/>
      <c r="F218" s="74"/>
      <c r="G218" s="81"/>
      <c r="H218" s="81"/>
      <c r="I218" s="81"/>
      <c r="J218" s="81"/>
      <c r="K218" s="74"/>
      <c r="L218" s="81"/>
      <c r="M218" s="81"/>
      <c r="N218" s="81"/>
      <c r="O218" s="81"/>
      <c r="P218" s="74"/>
    </row>
    <row r="219">
      <c r="A219" s="74"/>
      <c r="B219" s="81"/>
      <c r="C219" s="81"/>
      <c r="D219" s="81"/>
      <c r="E219" s="81"/>
      <c r="F219" s="74"/>
      <c r="G219" s="81"/>
      <c r="H219" s="81"/>
      <c r="I219" s="81"/>
      <c r="J219" s="81"/>
      <c r="K219" s="74"/>
      <c r="L219" s="81"/>
      <c r="M219" s="81"/>
      <c r="N219" s="81"/>
      <c r="O219" s="81"/>
      <c r="P219" s="74"/>
    </row>
    <row r="220">
      <c r="A220" s="74"/>
      <c r="B220" s="81"/>
      <c r="C220" s="81"/>
      <c r="D220" s="81"/>
      <c r="E220" s="81"/>
      <c r="F220" s="74"/>
      <c r="G220" s="81"/>
      <c r="H220" s="81"/>
      <c r="I220" s="81"/>
      <c r="J220" s="81"/>
      <c r="K220" s="74"/>
      <c r="L220" s="81"/>
      <c r="M220" s="81"/>
      <c r="N220" s="81"/>
      <c r="O220" s="81"/>
      <c r="P220" s="74"/>
    </row>
    <row r="221">
      <c r="A221" s="74"/>
      <c r="B221" s="81"/>
      <c r="C221" s="81"/>
      <c r="D221" s="81"/>
      <c r="E221" s="81"/>
      <c r="F221" s="74"/>
      <c r="G221" s="81"/>
      <c r="H221" s="81"/>
      <c r="I221" s="81"/>
      <c r="J221" s="81"/>
      <c r="K221" s="74"/>
      <c r="L221" s="81"/>
      <c r="M221" s="81"/>
      <c r="N221" s="81"/>
      <c r="O221" s="81"/>
      <c r="P221" s="74"/>
    </row>
    <row r="222">
      <c r="A222" s="74"/>
      <c r="B222" s="81"/>
      <c r="C222" s="81"/>
      <c r="D222" s="81"/>
      <c r="E222" s="81"/>
      <c r="F222" s="74"/>
      <c r="G222" s="81"/>
      <c r="H222" s="81"/>
      <c r="I222" s="81"/>
      <c r="J222" s="81"/>
      <c r="K222" s="74"/>
      <c r="L222" s="81"/>
      <c r="M222" s="81"/>
      <c r="N222" s="81"/>
      <c r="O222" s="81"/>
      <c r="P222" s="74"/>
    </row>
    <row r="223">
      <c r="A223" s="74"/>
      <c r="B223" s="81"/>
      <c r="C223" s="81"/>
      <c r="D223" s="81"/>
      <c r="E223" s="81"/>
      <c r="F223" s="74"/>
      <c r="G223" s="81"/>
      <c r="H223" s="81"/>
      <c r="I223" s="81"/>
      <c r="J223" s="81"/>
      <c r="K223" s="74"/>
      <c r="L223" s="81"/>
      <c r="M223" s="81"/>
      <c r="N223" s="81"/>
      <c r="O223" s="81"/>
      <c r="P223" s="74"/>
    </row>
    <row r="224">
      <c r="A224" s="74"/>
      <c r="B224" s="81"/>
      <c r="C224" s="81"/>
      <c r="D224" s="81"/>
      <c r="E224" s="81"/>
      <c r="F224" s="74"/>
      <c r="G224" s="81"/>
      <c r="H224" s="81"/>
      <c r="I224" s="81"/>
      <c r="J224" s="81"/>
      <c r="K224" s="74"/>
      <c r="L224" s="81"/>
      <c r="M224" s="81"/>
      <c r="N224" s="81"/>
      <c r="O224" s="81"/>
      <c r="P224" s="74"/>
    </row>
    <row r="225">
      <c r="A225" s="74"/>
      <c r="B225" s="81"/>
      <c r="C225" s="81"/>
      <c r="D225" s="81"/>
      <c r="E225" s="81"/>
      <c r="F225" s="74"/>
      <c r="G225" s="81"/>
      <c r="H225" s="81"/>
      <c r="I225" s="81"/>
      <c r="J225" s="81"/>
      <c r="K225" s="74"/>
      <c r="L225" s="81"/>
      <c r="M225" s="81"/>
      <c r="N225" s="81"/>
      <c r="O225" s="81"/>
      <c r="P225" s="74"/>
    </row>
    <row r="226">
      <c r="A226" s="74"/>
      <c r="B226" s="81"/>
      <c r="C226" s="81"/>
      <c r="D226" s="81"/>
      <c r="E226" s="81"/>
      <c r="F226" s="74"/>
      <c r="G226" s="81"/>
      <c r="H226" s="81"/>
      <c r="I226" s="81"/>
      <c r="J226" s="81"/>
      <c r="K226" s="74"/>
      <c r="L226" s="81"/>
      <c r="M226" s="81"/>
      <c r="N226" s="81"/>
      <c r="O226" s="81"/>
      <c r="P226" s="74"/>
    </row>
    <row r="227">
      <c r="A227" s="74"/>
      <c r="B227" s="81"/>
      <c r="C227" s="81"/>
      <c r="D227" s="81"/>
      <c r="E227" s="81"/>
      <c r="F227" s="74"/>
      <c r="G227" s="81"/>
      <c r="H227" s="81"/>
      <c r="I227" s="81"/>
      <c r="J227" s="81"/>
      <c r="K227" s="74"/>
      <c r="L227" s="81"/>
      <c r="M227" s="81"/>
      <c r="N227" s="81"/>
      <c r="O227" s="81"/>
      <c r="P227" s="74"/>
    </row>
    <row r="228">
      <c r="A228" s="74"/>
      <c r="B228" s="81"/>
      <c r="C228" s="81"/>
      <c r="D228" s="81"/>
      <c r="E228" s="81"/>
      <c r="F228" s="74"/>
      <c r="G228" s="81"/>
      <c r="H228" s="81"/>
      <c r="I228" s="81"/>
      <c r="J228" s="81"/>
      <c r="K228" s="74"/>
      <c r="L228" s="81"/>
      <c r="M228" s="81"/>
      <c r="N228" s="81"/>
      <c r="O228" s="81"/>
      <c r="P228" s="74"/>
    </row>
    <row r="229">
      <c r="A229" s="74"/>
      <c r="B229" s="81"/>
      <c r="C229" s="81"/>
      <c r="D229" s="81"/>
      <c r="E229" s="81"/>
      <c r="F229" s="74"/>
      <c r="G229" s="81"/>
      <c r="H229" s="81"/>
      <c r="I229" s="81"/>
      <c r="J229" s="81"/>
      <c r="K229" s="74"/>
      <c r="L229" s="81"/>
      <c r="M229" s="81"/>
      <c r="N229" s="81"/>
      <c r="O229" s="81"/>
      <c r="P229" s="74"/>
    </row>
    <row r="230">
      <c r="A230" s="74"/>
      <c r="B230" s="81"/>
      <c r="C230" s="81"/>
      <c r="D230" s="81"/>
      <c r="E230" s="81"/>
      <c r="F230" s="74"/>
      <c r="G230" s="81"/>
      <c r="H230" s="81"/>
      <c r="I230" s="81"/>
      <c r="J230" s="81"/>
      <c r="K230" s="74"/>
      <c r="L230" s="81"/>
      <c r="M230" s="81"/>
      <c r="N230" s="81"/>
      <c r="O230" s="81"/>
      <c r="P230" s="74"/>
    </row>
    <row r="231">
      <c r="A231" s="74"/>
      <c r="B231" s="81"/>
      <c r="C231" s="81"/>
      <c r="D231" s="81"/>
      <c r="E231" s="81"/>
      <c r="F231" s="74"/>
      <c r="G231" s="81"/>
      <c r="H231" s="81"/>
      <c r="I231" s="81"/>
      <c r="J231" s="81"/>
      <c r="K231" s="74"/>
      <c r="L231" s="81"/>
      <c r="M231" s="81"/>
      <c r="N231" s="81"/>
      <c r="O231" s="81"/>
      <c r="P231" s="74"/>
    </row>
    <row r="232">
      <c r="A232" s="74"/>
      <c r="B232" s="81"/>
      <c r="C232" s="81"/>
      <c r="D232" s="81"/>
      <c r="E232" s="81"/>
      <c r="F232" s="74"/>
      <c r="G232" s="81"/>
      <c r="H232" s="81"/>
      <c r="I232" s="81"/>
      <c r="J232" s="81"/>
      <c r="K232" s="74"/>
      <c r="L232" s="81"/>
      <c r="M232" s="81"/>
      <c r="N232" s="81"/>
      <c r="O232" s="81"/>
      <c r="P232" s="74"/>
    </row>
    <row r="233">
      <c r="A233" s="74"/>
      <c r="B233" s="81"/>
      <c r="C233" s="81"/>
      <c r="D233" s="81"/>
      <c r="E233" s="81"/>
      <c r="F233" s="74"/>
      <c r="G233" s="81"/>
      <c r="H233" s="81"/>
      <c r="I233" s="81"/>
      <c r="J233" s="81"/>
      <c r="K233" s="74"/>
      <c r="L233" s="81"/>
      <c r="M233" s="81"/>
      <c r="N233" s="81"/>
      <c r="O233" s="81"/>
      <c r="P233" s="74"/>
    </row>
    <row r="234">
      <c r="A234" s="74"/>
      <c r="B234" s="81"/>
      <c r="C234" s="81"/>
      <c r="D234" s="81"/>
      <c r="E234" s="81"/>
      <c r="F234" s="74"/>
      <c r="G234" s="81"/>
      <c r="H234" s="81"/>
      <c r="I234" s="81"/>
      <c r="J234" s="81"/>
      <c r="K234" s="74"/>
      <c r="L234" s="81"/>
      <c r="M234" s="81"/>
      <c r="N234" s="81"/>
      <c r="O234" s="81"/>
      <c r="P234" s="74"/>
    </row>
    <row r="235">
      <c r="A235" s="74"/>
      <c r="B235" s="81"/>
      <c r="C235" s="81"/>
      <c r="D235" s="81"/>
      <c r="E235" s="81"/>
      <c r="F235" s="74"/>
      <c r="G235" s="81"/>
      <c r="H235" s="81"/>
      <c r="I235" s="81"/>
      <c r="J235" s="81"/>
      <c r="K235" s="74"/>
      <c r="L235" s="81"/>
      <c r="M235" s="81"/>
      <c r="N235" s="81"/>
      <c r="O235" s="81"/>
      <c r="P235" s="74"/>
    </row>
    <row r="236">
      <c r="A236" s="74"/>
      <c r="B236" s="81"/>
      <c r="C236" s="81"/>
      <c r="D236" s="81"/>
      <c r="E236" s="81"/>
      <c r="F236" s="74"/>
      <c r="G236" s="81"/>
      <c r="H236" s="81"/>
      <c r="I236" s="81"/>
      <c r="J236" s="81"/>
      <c r="K236" s="74"/>
      <c r="L236" s="81"/>
      <c r="M236" s="81"/>
      <c r="N236" s="81"/>
      <c r="O236" s="81"/>
      <c r="P236" s="74"/>
    </row>
    <row r="237">
      <c r="A237" s="74"/>
      <c r="B237" s="81"/>
      <c r="C237" s="81"/>
      <c r="D237" s="81"/>
      <c r="E237" s="81"/>
      <c r="F237" s="74"/>
      <c r="G237" s="81"/>
      <c r="H237" s="81"/>
      <c r="I237" s="81"/>
      <c r="J237" s="81"/>
      <c r="K237" s="74"/>
      <c r="L237" s="81"/>
      <c r="M237" s="81"/>
      <c r="N237" s="81"/>
      <c r="O237" s="81"/>
      <c r="P237" s="74"/>
    </row>
    <row r="238">
      <c r="A238" s="74"/>
      <c r="B238" s="81"/>
      <c r="C238" s="81"/>
      <c r="D238" s="81"/>
      <c r="E238" s="81"/>
      <c r="F238" s="74"/>
      <c r="G238" s="81"/>
      <c r="H238" s="81"/>
      <c r="I238" s="81"/>
      <c r="J238" s="81"/>
      <c r="K238" s="74"/>
      <c r="L238" s="81"/>
      <c r="M238" s="81"/>
      <c r="N238" s="81"/>
      <c r="O238" s="81"/>
      <c r="P238" s="74"/>
    </row>
    <row r="239">
      <c r="A239" s="74"/>
      <c r="B239" s="81"/>
      <c r="C239" s="81"/>
      <c r="D239" s="81"/>
      <c r="E239" s="81"/>
      <c r="F239" s="74"/>
      <c r="G239" s="81"/>
      <c r="H239" s="81"/>
      <c r="I239" s="81"/>
      <c r="J239" s="81"/>
      <c r="K239" s="74"/>
      <c r="L239" s="81"/>
      <c r="M239" s="81"/>
      <c r="N239" s="81"/>
      <c r="O239" s="81"/>
      <c r="P239" s="74"/>
    </row>
    <row r="240">
      <c r="A240" s="74"/>
      <c r="B240" s="81"/>
      <c r="C240" s="81"/>
      <c r="D240" s="81"/>
      <c r="E240" s="81"/>
      <c r="F240" s="74"/>
      <c r="G240" s="81"/>
      <c r="H240" s="81"/>
      <c r="I240" s="81"/>
      <c r="J240" s="81"/>
      <c r="K240" s="74"/>
      <c r="L240" s="81"/>
      <c r="M240" s="81"/>
      <c r="N240" s="81"/>
      <c r="O240" s="81"/>
      <c r="P240" s="74"/>
    </row>
    <row r="241">
      <c r="A241" s="74"/>
      <c r="B241" s="81"/>
      <c r="C241" s="81"/>
      <c r="D241" s="81"/>
      <c r="E241" s="81"/>
      <c r="F241" s="74"/>
      <c r="G241" s="81"/>
      <c r="H241" s="81"/>
      <c r="I241" s="81"/>
      <c r="J241" s="81"/>
      <c r="K241" s="74"/>
      <c r="L241" s="81"/>
      <c r="M241" s="81"/>
      <c r="N241" s="81"/>
      <c r="O241" s="81"/>
      <c r="P241" s="74"/>
    </row>
    <row r="242">
      <c r="A242" s="74"/>
      <c r="B242" s="81"/>
      <c r="C242" s="81"/>
      <c r="D242" s="81"/>
      <c r="E242" s="81"/>
      <c r="F242" s="74"/>
      <c r="G242" s="81"/>
      <c r="H242" s="81"/>
      <c r="I242" s="81"/>
      <c r="J242" s="81"/>
      <c r="K242" s="74"/>
      <c r="L242" s="81"/>
      <c r="M242" s="81"/>
      <c r="N242" s="81"/>
      <c r="O242" s="81"/>
      <c r="P242" s="74"/>
    </row>
    <row r="243">
      <c r="A243" s="74"/>
      <c r="B243" s="81"/>
      <c r="C243" s="81"/>
      <c r="D243" s="81"/>
      <c r="E243" s="81"/>
      <c r="F243" s="74"/>
      <c r="G243" s="81"/>
      <c r="H243" s="81"/>
      <c r="I243" s="81"/>
      <c r="J243" s="81"/>
      <c r="K243" s="74"/>
      <c r="L243" s="81"/>
      <c r="M243" s="81"/>
      <c r="N243" s="81"/>
      <c r="O243" s="81"/>
      <c r="P243" s="74"/>
    </row>
    <row r="244">
      <c r="A244" s="74"/>
      <c r="B244" s="81"/>
      <c r="C244" s="81"/>
      <c r="D244" s="81"/>
      <c r="E244" s="81"/>
      <c r="F244" s="74"/>
      <c r="G244" s="81"/>
      <c r="H244" s="81"/>
      <c r="I244" s="81"/>
      <c r="J244" s="81"/>
      <c r="K244" s="74"/>
      <c r="L244" s="81"/>
      <c r="M244" s="81"/>
      <c r="N244" s="81"/>
      <c r="O244" s="81"/>
      <c r="P244" s="74"/>
    </row>
    <row r="245">
      <c r="A245" s="74"/>
      <c r="B245" s="81"/>
      <c r="C245" s="81"/>
      <c r="D245" s="81"/>
      <c r="E245" s="81"/>
      <c r="F245" s="74"/>
      <c r="G245" s="81"/>
      <c r="H245" s="81"/>
      <c r="I245" s="81"/>
      <c r="J245" s="81"/>
      <c r="K245" s="74"/>
      <c r="L245" s="81"/>
      <c r="M245" s="81"/>
      <c r="N245" s="81"/>
      <c r="O245" s="81"/>
      <c r="P245" s="74"/>
    </row>
    <row r="246">
      <c r="A246" s="74"/>
      <c r="B246" s="81"/>
      <c r="C246" s="81"/>
      <c r="D246" s="81"/>
      <c r="E246" s="81"/>
      <c r="F246" s="74"/>
      <c r="G246" s="81"/>
      <c r="H246" s="81"/>
      <c r="I246" s="81"/>
      <c r="J246" s="81"/>
      <c r="K246" s="74"/>
      <c r="L246" s="81"/>
      <c r="M246" s="81"/>
      <c r="N246" s="81"/>
      <c r="O246" s="81"/>
      <c r="P246" s="74"/>
    </row>
    <row r="247">
      <c r="A247" s="74"/>
      <c r="B247" s="81"/>
      <c r="C247" s="81"/>
      <c r="D247" s="81"/>
      <c r="E247" s="81"/>
      <c r="F247" s="74"/>
      <c r="G247" s="81"/>
      <c r="H247" s="81"/>
      <c r="I247" s="81"/>
      <c r="J247" s="81"/>
      <c r="K247" s="74"/>
      <c r="L247" s="81"/>
      <c r="M247" s="81"/>
      <c r="N247" s="81"/>
      <c r="O247" s="81"/>
      <c r="P247" s="74"/>
    </row>
    <row r="248">
      <c r="A248" s="74"/>
      <c r="B248" s="81"/>
      <c r="C248" s="81"/>
      <c r="D248" s="81"/>
      <c r="E248" s="81"/>
      <c r="F248" s="74"/>
      <c r="G248" s="81"/>
      <c r="H248" s="81"/>
      <c r="I248" s="81"/>
      <c r="J248" s="81"/>
      <c r="K248" s="74"/>
      <c r="L248" s="81"/>
      <c r="M248" s="81"/>
      <c r="N248" s="81"/>
      <c r="O248" s="81"/>
      <c r="P248" s="74"/>
    </row>
    <row r="249">
      <c r="A249" s="74"/>
      <c r="B249" s="81"/>
      <c r="C249" s="81"/>
      <c r="D249" s="81"/>
      <c r="E249" s="81"/>
      <c r="F249" s="74"/>
      <c r="G249" s="81"/>
      <c r="H249" s="81"/>
      <c r="I249" s="81"/>
      <c r="J249" s="81"/>
      <c r="K249" s="74"/>
      <c r="L249" s="81"/>
      <c r="M249" s="81"/>
      <c r="N249" s="81"/>
      <c r="O249" s="81"/>
      <c r="P249" s="74"/>
    </row>
    <row r="250">
      <c r="A250" s="74"/>
      <c r="B250" s="81"/>
      <c r="C250" s="81"/>
      <c r="D250" s="81"/>
      <c r="E250" s="81"/>
      <c r="F250" s="74"/>
      <c r="G250" s="81"/>
      <c r="H250" s="81"/>
      <c r="I250" s="81"/>
      <c r="J250" s="81"/>
      <c r="K250" s="74"/>
      <c r="L250" s="81"/>
      <c r="M250" s="81"/>
      <c r="N250" s="81"/>
      <c r="O250" s="81"/>
      <c r="P250" s="74"/>
    </row>
    <row r="251">
      <c r="A251" s="74"/>
      <c r="B251" s="81"/>
      <c r="C251" s="81"/>
      <c r="D251" s="81"/>
      <c r="E251" s="81"/>
      <c r="F251" s="74"/>
      <c r="G251" s="81"/>
      <c r="H251" s="81"/>
      <c r="I251" s="81"/>
      <c r="J251" s="81"/>
      <c r="K251" s="74"/>
      <c r="L251" s="81"/>
      <c r="M251" s="81"/>
      <c r="N251" s="81"/>
      <c r="O251" s="81"/>
      <c r="P251" s="74"/>
    </row>
    <row r="252">
      <c r="A252" s="74"/>
      <c r="B252" s="81"/>
      <c r="C252" s="81"/>
      <c r="D252" s="81"/>
      <c r="E252" s="81"/>
      <c r="F252" s="74"/>
      <c r="G252" s="81"/>
      <c r="H252" s="81"/>
      <c r="I252" s="81"/>
      <c r="J252" s="81"/>
      <c r="K252" s="74"/>
      <c r="L252" s="81"/>
      <c r="M252" s="81"/>
      <c r="N252" s="81"/>
      <c r="O252" s="81"/>
      <c r="P252" s="74"/>
    </row>
    <row r="253">
      <c r="A253" s="74"/>
      <c r="B253" s="81"/>
      <c r="C253" s="81"/>
      <c r="D253" s="81"/>
      <c r="E253" s="81"/>
      <c r="F253" s="74"/>
      <c r="G253" s="81"/>
      <c r="H253" s="81"/>
      <c r="I253" s="81"/>
      <c r="J253" s="81"/>
      <c r="K253" s="74"/>
      <c r="L253" s="81"/>
      <c r="M253" s="81"/>
      <c r="N253" s="81"/>
      <c r="O253" s="81"/>
      <c r="P253" s="74"/>
    </row>
    <row r="254">
      <c r="A254" s="74"/>
      <c r="B254" s="81"/>
      <c r="C254" s="81"/>
      <c r="D254" s="81"/>
      <c r="E254" s="81"/>
      <c r="F254" s="74"/>
      <c r="G254" s="81"/>
      <c r="H254" s="81"/>
      <c r="I254" s="81"/>
      <c r="J254" s="81"/>
      <c r="K254" s="74"/>
      <c r="L254" s="81"/>
      <c r="M254" s="81"/>
      <c r="N254" s="81"/>
      <c r="O254" s="81"/>
      <c r="P254" s="74"/>
    </row>
    <row r="255">
      <c r="A255" s="74"/>
      <c r="B255" s="81"/>
      <c r="C255" s="81"/>
      <c r="D255" s="81"/>
      <c r="E255" s="81"/>
      <c r="F255" s="74"/>
      <c r="G255" s="81"/>
      <c r="H255" s="81"/>
      <c r="I255" s="81"/>
      <c r="J255" s="81"/>
      <c r="K255" s="74"/>
      <c r="L255" s="81"/>
      <c r="M255" s="81"/>
      <c r="N255" s="81"/>
      <c r="O255" s="81"/>
      <c r="P255" s="74"/>
    </row>
    <row r="256">
      <c r="A256" s="74"/>
      <c r="B256" s="81"/>
      <c r="C256" s="81"/>
      <c r="D256" s="81"/>
      <c r="E256" s="81"/>
      <c r="F256" s="74"/>
      <c r="G256" s="81"/>
      <c r="H256" s="81"/>
      <c r="I256" s="81"/>
      <c r="J256" s="81"/>
      <c r="K256" s="74"/>
      <c r="L256" s="81"/>
      <c r="M256" s="81"/>
      <c r="N256" s="81"/>
      <c r="O256" s="81"/>
      <c r="P256" s="74"/>
    </row>
    <row r="257">
      <c r="A257" s="74"/>
      <c r="B257" s="81"/>
      <c r="C257" s="81"/>
      <c r="D257" s="81"/>
      <c r="E257" s="81"/>
      <c r="F257" s="74"/>
      <c r="G257" s="81"/>
      <c r="H257" s="81"/>
      <c r="I257" s="81"/>
      <c r="J257" s="81"/>
      <c r="K257" s="74"/>
      <c r="L257" s="81"/>
      <c r="M257" s="81"/>
      <c r="N257" s="81"/>
      <c r="O257" s="81"/>
      <c r="P257" s="74"/>
    </row>
    <row r="258">
      <c r="A258" s="74"/>
      <c r="B258" s="81"/>
      <c r="C258" s="81"/>
      <c r="D258" s="81"/>
      <c r="E258" s="81"/>
      <c r="F258" s="74"/>
      <c r="G258" s="81"/>
      <c r="H258" s="81"/>
      <c r="I258" s="81"/>
      <c r="J258" s="81"/>
      <c r="K258" s="74"/>
      <c r="L258" s="81"/>
      <c r="M258" s="81"/>
      <c r="N258" s="81"/>
      <c r="O258" s="81"/>
      <c r="P258" s="74"/>
    </row>
    <row r="259">
      <c r="A259" s="74"/>
      <c r="B259" s="81"/>
      <c r="C259" s="81"/>
      <c r="D259" s="81"/>
      <c r="E259" s="81"/>
      <c r="F259" s="74"/>
      <c r="G259" s="81"/>
      <c r="H259" s="81"/>
      <c r="I259" s="81"/>
      <c r="J259" s="81"/>
      <c r="K259" s="74"/>
      <c r="L259" s="81"/>
      <c r="M259" s="81"/>
      <c r="N259" s="81"/>
      <c r="O259" s="81"/>
      <c r="P259" s="74"/>
    </row>
    <row r="260">
      <c r="A260" s="74"/>
      <c r="B260" s="81"/>
      <c r="C260" s="81"/>
      <c r="D260" s="81"/>
      <c r="E260" s="81"/>
      <c r="F260" s="74"/>
      <c r="G260" s="81"/>
      <c r="H260" s="81"/>
      <c r="I260" s="81"/>
      <c r="J260" s="81"/>
      <c r="K260" s="74"/>
      <c r="L260" s="81"/>
      <c r="M260" s="81"/>
      <c r="N260" s="81"/>
      <c r="O260" s="81"/>
      <c r="P260" s="74"/>
    </row>
    <row r="261">
      <c r="A261" s="74"/>
      <c r="B261" s="81"/>
      <c r="C261" s="81"/>
      <c r="D261" s="81"/>
      <c r="E261" s="81"/>
      <c r="F261" s="74"/>
      <c r="G261" s="81"/>
      <c r="H261" s="81"/>
      <c r="I261" s="81"/>
      <c r="J261" s="81"/>
      <c r="K261" s="74"/>
      <c r="L261" s="81"/>
      <c r="M261" s="81"/>
      <c r="N261" s="81"/>
      <c r="O261" s="81"/>
      <c r="P261" s="74"/>
    </row>
    <row r="262">
      <c r="A262" s="74"/>
      <c r="B262" s="81"/>
      <c r="C262" s="81"/>
      <c r="D262" s="81"/>
      <c r="E262" s="81"/>
      <c r="F262" s="74"/>
      <c r="G262" s="81"/>
      <c r="H262" s="81"/>
      <c r="I262" s="81"/>
      <c r="J262" s="81"/>
      <c r="K262" s="74"/>
      <c r="L262" s="81"/>
      <c r="M262" s="81"/>
      <c r="N262" s="81"/>
      <c r="O262" s="81"/>
      <c r="P262" s="74"/>
    </row>
    <row r="263">
      <c r="A263" s="74"/>
      <c r="B263" s="81"/>
      <c r="C263" s="81"/>
      <c r="D263" s="81"/>
      <c r="E263" s="81"/>
      <c r="F263" s="74"/>
      <c r="G263" s="81"/>
      <c r="H263" s="81"/>
      <c r="I263" s="81"/>
      <c r="J263" s="81"/>
      <c r="K263" s="74"/>
      <c r="L263" s="81"/>
      <c r="M263" s="81"/>
      <c r="N263" s="81"/>
      <c r="O263" s="81"/>
      <c r="P263" s="74"/>
    </row>
    <row r="264">
      <c r="A264" s="74"/>
      <c r="B264" s="81"/>
      <c r="C264" s="81"/>
      <c r="D264" s="81"/>
      <c r="E264" s="81"/>
      <c r="F264" s="74"/>
      <c r="G264" s="81"/>
      <c r="H264" s="81"/>
      <c r="I264" s="81"/>
      <c r="J264" s="81"/>
      <c r="K264" s="74"/>
      <c r="L264" s="81"/>
      <c r="M264" s="81"/>
      <c r="N264" s="81"/>
      <c r="O264" s="81"/>
      <c r="P264" s="74"/>
    </row>
    <row r="265">
      <c r="A265" s="74"/>
      <c r="B265" s="81"/>
      <c r="C265" s="81"/>
      <c r="D265" s="81"/>
      <c r="E265" s="81"/>
      <c r="F265" s="74"/>
      <c r="G265" s="81"/>
      <c r="H265" s="81"/>
      <c r="I265" s="81"/>
      <c r="J265" s="81"/>
      <c r="K265" s="74"/>
      <c r="L265" s="81"/>
      <c r="M265" s="81"/>
      <c r="N265" s="81"/>
      <c r="O265" s="81"/>
      <c r="P265" s="74"/>
    </row>
    <row r="266">
      <c r="A266" s="74"/>
      <c r="B266" s="81"/>
      <c r="C266" s="81"/>
      <c r="D266" s="81"/>
      <c r="E266" s="81"/>
      <c r="F266" s="74"/>
      <c r="G266" s="81"/>
      <c r="H266" s="81"/>
      <c r="I266" s="81"/>
      <c r="J266" s="81"/>
      <c r="K266" s="74"/>
      <c r="L266" s="81"/>
      <c r="M266" s="81"/>
      <c r="N266" s="81"/>
      <c r="O266" s="81"/>
      <c r="P266" s="74"/>
    </row>
    <row r="267">
      <c r="A267" s="74"/>
      <c r="B267" s="81"/>
      <c r="C267" s="81"/>
      <c r="D267" s="81"/>
      <c r="E267" s="81"/>
      <c r="F267" s="74"/>
      <c r="G267" s="81"/>
      <c r="H267" s="81"/>
      <c r="I267" s="81"/>
      <c r="J267" s="81"/>
      <c r="K267" s="74"/>
      <c r="L267" s="81"/>
      <c r="M267" s="81"/>
      <c r="N267" s="81"/>
      <c r="O267" s="81"/>
      <c r="P267" s="74"/>
    </row>
    <row r="268">
      <c r="A268" s="74"/>
      <c r="B268" s="81"/>
      <c r="C268" s="81"/>
      <c r="D268" s="81"/>
      <c r="E268" s="81"/>
      <c r="F268" s="74"/>
      <c r="G268" s="81"/>
      <c r="H268" s="81"/>
      <c r="I268" s="81"/>
      <c r="J268" s="81"/>
      <c r="K268" s="74"/>
      <c r="L268" s="81"/>
      <c r="M268" s="81"/>
      <c r="N268" s="81"/>
      <c r="O268" s="81"/>
      <c r="P268" s="74"/>
    </row>
    <row r="269">
      <c r="A269" s="74"/>
      <c r="B269" s="81"/>
      <c r="C269" s="81"/>
      <c r="D269" s="81"/>
      <c r="E269" s="81"/>
      <c r="F269" s="74"/>
      <c r="G269" s="81"/>
      <c r="H269" s="81"/>
      <c r="I269" s="81"/>
      <c r="J269" s="81"/>
      <c r="K269" s="74"/>
      <c r="L269" s="81"/>
      <c r="M269" s="81"/>
      <c r="N269" s="81"/>
      <c r="O269" s="81"/>
      <c r="P269" s="74"/>
    </row>
    <row r="270">
      <c r="A270" s="74"/>
      <c r="B270" s="81"/>
      <c r="C270" s="81"/>
      <c r="D270" s="81"/>
      <c r="E270" s="81"/>
      <c r="F270" s="74"/>
      <c r="G270" s="81"/>
      <c r="H270" s="81"/>
      <c r="I270" s="81"/>
      <c r="J270" s="81"/>
      <c r="K270" s="74"/>
      <c r="L270" s="81"/>
      <c r="M270" s="81"/>
      <c r="N270" s="81"/>
      <c r="O270" s="81"/>
      <c r="P270" s="74"/>
    </row>
    <row r="271">
      <c r="A271" s="74"/>
      <c r="B271" s="81"/>
      <c r="C271" s="81"/>
      <c r="D271" s="81"/>
      <c r="E271" s="81"/>
      <c r="F271" s="74"/>
      <c r="G271" s="81"/>
      <c r="H271" s="81"/>
      <c r="I271" s="81"/>
      <c r="J271" s="81"/>
      <c r="K271" s="74"/>
      <c r="L271" s="81"/>
      <c r="M271" s="81"/>
      <c r="N271" s="81"/>
      <c r="O271" s="81"/>
      <c r="P271" s="74"/>
    </row>
    <row r="272">
      <c r="A272" s="74"/>
      <c r="B272" s="81"/>
      <c r="C272" s="81"/>
      <c r="D272" s="81"/>
      <c r="E272" s="81"/>
      <c r="F272" s="74"/>
      <c r="G272" s="81"/>
      <c r="H272" s="81"/>
      <c r="I272" s="81"/>
      <c r="J272" s="81"/>
      <c r="K272" s="74"/>
      <c r="L272" s="81"/>
      <c r="M272" s="81"/>
      <c r="N272" s="81"/>
      <c r="O272" s="81"/>
      <c r="P272" s="74"/>
    </row>
    <row r="273">
      <c r="A273" s="74"/>
      <c r="B273" s="81"/>
      <c r="C273" s="81"/>
      <c r="D273" s="81"/>
      <c r="E273" s="81"/>
      <c r="F273" s="74"/>
      <c r="G273" s="81"/>
      <c r="H273" s="81"/>
      <c r="I273" s="81"/>
      <c r="J273" s="81"/>
      <c r="K273" s="74"/>
      <c r="L273" s="81"/>
      <c r="M273" s="81"/>
      <c r="N273" s="81"/>
      <c r="O273" s="81"/>
      <c r="P273" s="74"/>
    </row>
    <row r="274">
      <c r="A274" s="74"/>
      <c r="B274" s="81"/>
      <c r="C274" s="81"/>
      <c r="D274" s="81"/>
      <c r="E274" s="81"/>
      <c r="F274" s="74"/>
      <c r="G274" s="81"/>
      <c r="H274" s="81"/>
      <c r="I274" s="81"/>
      <c r="J274" s="81"/>
      <c r="K274" s="74"/>
      <c r="L274" s="81"/>
      <c r="M274" s="81"/>
      <c r="N274" s="81"/>
      <c r="O274" s="81"/>
      <c r="P274" s="74"/>
    </row>
    <row r="275">
      <c r="A275" s="74"/>
      <c r="B275" s="81"/>
      <c r="C275" s="81"/>
      <c r="D275" s="81"/>
      <c r="E275" s="81"/>
      <c r="F275" s="74"/>
      <c r="G275" s="81"/>
      <c r="H275" s="81"/>
      <c r="I275" s="81"/>
      <c r="J275" s="81"/>
      <c r="K275" s="74"/>
      <c r="L275" s="81"/>
      <c r="M275" s="81"/>
      <c r="N275" s="81"/>
      <c r="O275" s="81"/>
      <c r="P275" s="74"/>
    </row>
    <row r="276">
      <c r="A276" s="74"/>
      <c r="B276" s="81"/>
      <c r="C276" s="81"/>
      <c r="D276" s="81"/>
      <c r="E276" s="81"/>
      <c r="F276" s="74"/>
      <c r="G276" s="81"/>
      <c r="H276" s="81"/>
      <c r="I276" s="81"/>
      <c r="J276" s="81"/>
      <c r="K276" s="74"/>
      <c r="L276" s="81"/>
      <c r="M276" s="81"/>
      <c r="N276" s="81"/>
      <c r="O276" s="81"/>
      <c r="P276" s="74"/>
    </row>
    <row r="277">
      <c r="A277" s="74"/>
      <c r="B277" s="81"/>
      <c r="C277" s="81"/>
      <c r="D277" s="81"/>
      <c r="E277" s="81"/>
      <c r="F277" s="74"/>
      <c r="G277" s="81"/>
      <c r="H277" s="81"/>
      <c r="I277" s="81"/>
      <c r="J277" s="81"/>
      <c r="K277" s="74"/>
      <c r="L277" s="81"/>
      <c r="M277" s="81"/>
      <c r="N277" s="81"/>
      <c r="O277" s="81"/>
      <c r="P277" s="74"/>
    </row>
    <row r="278">
      <c r="A278" s="74"/>
      <c r="B278" s="81"/>
      <c r="C278" s="81"/>
      <c r="D278" s="81"/>
      <c r="E278" s="81"/>
      <c r="F278" s="74"/>
      <c r="G278" s="81"/>
      <c r="H278" s="81"/>
      <c r="I278" s="81"/>
      <c r="J278" s="81"/>
      <c r="K278" s="74"/>
      <c r="L278" s="81"/>
      <c r="M278" s="81"/>
      <c r="N278" s="81"/>
      <c r="O278" s="81"/>
      <c r="P278" s="74"/>
    </row>
    <row r="279">
      <c r="A279" s="74"/>
      <c r="B279" s="81"/>
      <c r="C279" s="81"/>
      <c r="D279" s="81"/>
      <c r="E279" s="81"/>
      <c r="F279" s="74"/>
      <c r="G279" s="81"/>
      <c r="H279" s="81"/>
      <c r="I279" s="81"/>
      <c r="J279" s="81"/>
      <c r="K279" s="74"/>
      <c r="L279" s="81"/>
      <c r="M279" s="81"/>
      <c r="N279" s="81"/>
      <c r="O279" s="81"/>
      <c r="P279" s="74"/>
    </row>
    <row r="280">
      <c r="A280" s="74"/>
      <c r="B280" s="81"/>
      <c r="C280" s="81"/>
      <c r="D280" s="81"/>
      <c r="E280" s="81"/>
      <c r="F280" s="74"/>
      <c r="G280" s="81"/>
      <c r="H280" s="81"/>
      <c r="I280" s="81"/>
      <c r="J280" s="81"/>
      <c r="K280" s="74"/>
      <c r="L280" s="81"/>
      <c r="M280" s="81"/>
      <c r="N280" s="81"/>
      <c r="O280" s="81"/>
      <c r="P280" s="74"/>
    </row>
    <row r="281">
      <c r="A281" s="74"/>
      <c r="B281" s="81"/>
      <c r="C281" s="81"/>
      <c r="D281" s="81"/>
      <c r="E281" s="81"/>
      <c r="F281" s="74"/>
      <c r="G281" s="81"/>
      <c r="H281" s="81"/>
      <c r="I281" s="81"/>
      <c r="J281" s="81"/>
      <c r="K281" s="74"/>
      <c r="L281" s="81"/>
      <c r="M281" s="81"/>
      <c r="N281" s="81"/>
      <c r="O281" s="81"/>
      <c r="P281" s="74"/>
    </row>
    <row r="282">
      <c r="A282" s="74"/>
      <c r="B282" s="81"/>
      <c r="C282" s="81"/>
      <c r="D282" s="81"/>
      <c r="E282" s="81"/>
      <c r="F282" s="74"/>
      <c r="G282" s="81"/>
      <c r="H282" s="81"/>
      <c r="I282" s="81"/>
      <c r="J282" s="81"/>
      <c r="K282" s="74"/>
      <c r="L282" s="81"/>
      <c r="M282" s="81"/>
      <c r="N282" s="81"/>
      <c r="O282" s="81"/>
      <c r="P282" s="74"/>
    </row>
    <row r="283">
      <c r="A283" s="74"/>
      <c r="B283" s="81"/>
      <c r="C283" s="81"/>
      <c r="D283" s="81"/>
      <c r="E283" s="81"/>
      <c r="F283" s="74"/>
      <c r="G283" s="81"/>
      <c r="H283" s="81"/>
      <c r="I283" s="81"/>
      <c r="J283" s="81"/>
      <c r="K283" s="74"/>
      <c r="L283" s="81"/>
      <c r="M283" s="81"/>
      <c r="N283" s="81"/>
      <c r="O283" s="81"/>
      <c r="P283" s="74"/>
    </row>
    <row r="284">
      <c r="A284" s="74"/>
      <c r="B284" s="81"/>
      <c r="C284" s="81"/>
      <c r="D284" s="81"/>
      <c r="E284" s="81"/>
      <c r="F284" s="74"/>
      <c r="G284" s="81"/>
      <c r="H284" s="81"/>
      <c r="I284" s="81"/>
      <c r="J284" s="81"/>
      <c r="K284" s="74"/>
      <c r="L284" s="81"/>
      <c r="M284" s="81"/>
      <c r="N284" s="81"/>
      <c r="O284" s="81"/>
      <c r="P284" s="74"/>
    </row>
    <row r="285">
      <c r="A285" s="74"/>
      <c r="B285" s="81"/>
      <c r="C285" s="81"/>
      <c r="D285" s="81"/>
      <c r="E285" s="81"/>
      <c r="F285" s="74"/>
      <c r="G285" s="81"/>
      <c r="H285" s="81"/>
      <c r="I285" s="81"/>
      <c r="J285" s="81"/>
      <c r="K285" s="74"/>
      <c r="L285" s="81"/>
      <c r="M285" s="81"/>
      <c r="N285" s="81"/>
      <c r="O285" s="81"/>
      <c r="P285" s="74"/>
    </row>
    <row r="286">
      <c r="A286" s="74"/>
      <c r="B286" s="81"/>
      <c r="C286" s="81"/>
      <c r="D286" s="81"/>
      <c r="E286" s="81"/>
      <c r="F286" s="74"/>
      <c r="G286" s="81"/>
      <c r="H286" s="81"/>
      <c r="I286" s="81"/>
      <c r="J286" s="81"/>
      <c r="K286" s="74"/>
      <c r="L286" s="81"/>
      <c r="M286" s="81"/>
      <c r="N286" s="81"/>
      <c r="O286" s="81"/>
      <c r="P286" s="74"/>
    </row>
    <row r="287">
      <c r="A287" s="74"/>
      <c r="B287" s="81"/>
      <c r="C287" s="81"/>
      <c r="D287" s="81"/>
      <c r="E287" s="81"/>
      <c r="F287" s="74"/>
      <c r="G287" s="81"/>
      <c r="H287" s="81"/>
      <c r="I287" s="81"/>
      <c r="J287" s="81"/>
      <c r="K287" s="74"/>
      <c r="L287" s="81"/>
      <c r="M287" s="81"/>
      <c r="N287" s="81"/>
      <c r="O287" s="81"/>
      <c r="P287" s="74"/>
    </row>
    <row r="288">
      <c r="A288" s="74"/>
      <c r="B288" s="81"/>
      <c r="C288" s="81"/>
      <c r="D288" s="81"/>
      <c r="E288" s="81"/>
      <c r="F288" s="74"/>
      <c r="G288" s="81"/>
      <c r="H288" s="81"/>
      <c r="I288" s="81"/>
      <c r="J288" s="81"/>
      <c r="K288" s="74"/>
      <c r="L288" s="81"/>
      <c r="M288" s="81"/>
      <c r="N288" s="81"/>
      <c r="O288" s="81"/>
      <c r="P288" s="74"/>
    </row>
    <row r="289">
      <c r="A289" s="74"/>
      <c r="B289" s="81"/>
      <c r="C289" s="81"/>
      <c r="D289" s="81"/>
      <c r="E289" s="81"/>
      <c r="F289" s="74"/>
      <c r="G289" s="81"/>
      <c r="H289" s="81"/>
      <c r="I289" s="81"/>
      <c r="J289" s="81"/>
      <c r="K289" s="74"/>
      <c r="L289" s="81"/>
      <c r="M289" s="81"/>
      <c r="N289" s="81"/>
      <c r="O289" s="81"/>
      <c r="P289" s="74"/>
    </row>
    <row r="290">
      <c r="A290" s="74"/>
      <c r="B290" s="81"/>
      <c r="C290" s="81"/>
      <c r="D290" s="81"/>
      <c r="E290" s="81"/>
      <c r="F290" s="74"/>
      <c r="G290" s="81"/>
      <c r="H290" s="81"/>
      <c r="I290" s="81"/>
      <c r="J290" s="81"/>
      <c r="K290" s="74"/>
      <c r="L290" s="81"/>
      <c r="M290" s="81"/>
      <c r="N290" s="81"/>
      <c r="O290" s="81"/>
      <c r="P290" s="74"/>
    </row>
    <row r="291">
      <c r="A291" s="74"/>
      <c r="B291" s="81"/>
      <c r="C291" s="81"/>
      <c r="D291" s="81"/>
      <c r="E291" s="81"/>
      <c r="F291" s="74"/>
      <c r="G291" s="81"/>
      <c r="H291" s="81"/>
      <c r="I291" s="81"/>
      <c r="J291" s="81"/>
      <c r="K291" s="74"/>
      <c r="L291" s="81"/>
      <c r="M291" s="81"/>
      <c r="N291" s="81"/>
      <c r="O291" s="81"/>
      <c r="P291" s="74"/>
    </row>
    <row r="292">
      <c r="A292" s="74"/>
      <c r="B292" s="81"/>
      <c r="C292" s="81"/>
      <c r="D292" s="81"/>
      <c r="E292" s="81"/>
      <c r="F292" s="74"/>
      <c r="G292" s="81"/>
      <c r="H292" s="81"/>
      <c r="I292" s="81"/>
      <c r="J292" s="81"/>
      <c r="K292" s="74"/>
      <c r="L292" s="81"/>
      <c r="M292" s="81"/>
      <c r="N292" s="81"/>
      <c r="O292" s="81"/>
      <c r="P292" s="74"/>
    </row>
    <row r="293">
      <c r="A293" s="74"/>
      <c r="B293" s="81"/>
      <c r="C293" s="81"/>
      <c r="D293" s="81"/>
      <c r="E293" s="81"/>
      <c r="F293" s="74"/>
      <c r="G293" s="81"/>
      <c r="H293" s="81"/>
      <c r="I293" s="81"/>
      <c r="J293" s="81"/>
      <c r="K293" s="74"/>
      <c r="L293" s="81"/>
      <c r="M293" s="81"/>
      <c r="N293" s="81"/>
      <c r="O293" s="81"/>
      <c r="P293" s="74"/>
    </row>
    <row r="294">
      <c r="A294" s="74"/>
      <c r="B294" s="81"/>
      <c r="C294" s="81"/>
      <c r="D294" s="81"/>
      <c r="E294" s="81"/>
      <c r="F294" s="74"/>
      <c r="G294" s="81"/>
      <c r="H294" s="81"/>
      <c r="I294" s="81"/>
      <c r="J294" s="81"/>
      <c r="K294" s="74"/>
      <c r="L294" s="81"/>
      <c r="M294" s="81"/>
      <c r="N294" s="81"/>
      <c r="O294" s="81"/>
      <c r="P294" s="74"/>
    </row>
    <row r="295">
      <c r="A295" s="74"/>
      <c r="B295" s="81"/>
      <c r="C295" s="81"/>
      <c r="D295" s="81"/>
      <c r="E295" s="81"/>
      <c r="F295" s="74"/>
      <c r="G295" s="81"/>
      <c r="H295" s="81"/>
      <c r="I295" s="81"/>
      <c r="J295" s="81"/>
      <c r="K295" s="74"/>
      <c r="L295" s="81"/>
      <c r="M295" s="81"/>
      <c r="N295" s="81"/>
      <c r="O295" s="81"/>
      <c r="P295" s="74"/>
    </row>
    <row r="296">
      <c r="A296" s="74"/>
      <c r="B296" s="81"/>
      <c r="C296" s="81"/>
      <c r="D296" s="81"/>
      <c r="E296" s="81"/>
      <c r="F296" s="74"/>
      <c r="G296" s="81"/>
      <c r="H296" s="81"/>
      <c r="I296" s="81"/>
      <c r="J296" s="81"/>
      <c r="K296" s="74"/>
      <c r="L296" s="81"/>
      <c r="M296" s="81"/>
      <c r="N296" s="81"/>
      <c r="O296" s="81"/>
      <c r="P296" s="74"/>
    </row>
    <row r="297">
      <c r="A297" s="74"/>
      <c r="B297" s="81"/>
      <c r="C297" s="81"/>
      <c r="D297" s="81"/>
      <c r="E297" s="81"/>
      <c r="F297" s="74"/>
      <c r="G297" s="81"/>
      <c r="H297" s="81"/>
      <c r="I297" s="81"/>
      <c r="J297" s="81"/>
      <c r="K297" s="74"/>
      <c r="L297" s="81"/>
      <c r="M297" s="81"/>
      <c r="N297" s="81"/>
      <c r="O297" s="81"/>
      <c r="P297" s="74"/>
    </row>
    <row r="298">
      <c r="A298" s="74"/>
      <c r="B298" s="81"/>
      <c r="C298" s="81"/>
      <c r="D298" s="81"/>
      <c r="E298" s="81"/>
      <c r="F298" s="74"/>
      <c r="G298" s="81"/>
      <c r="H298" s="81"/>
      <c r="I298" s="81"/>
      <c r="J298" s="81"/>
      <c r="K298" s="74"/>
      <c r="L298" s="81"/>
      <c r="M298" s="81"/>
      <c r="N298" s="81"/>
      <c r="O298" s="81"/>
      <c r="P298" s="74"/>
    </row>
    <row r="299">
      <c r="A299" s="74"/>
      <c r="B299" s="81"/>
      <c r="C299" s="81"/>
      <c r="D299" s="81"/>
      <c r="E299" s="81"/>
      <c r="F299" s="74"/>
      <c r="G299" s="81"/>
      <c r="H299" s="81"/>
      <c r="I299" s="81"/>
      <c r="J299" s="81"/>
      <c r="K299" s="74"/>
      <c r="L299" s="81"/>
      <c r="M299" s="81"/>
      <c r="N299" s="81"/>
      <c r="O299" s="81"/>
      <c r="P299" s="74"/>
    </row>
    <row r="300">
      <c r="A300" s="74"/>
      <c r="B300" s="81"/>
      <c r="C300" s="81"/>
      <c r="D300" s="81"/>
      <c r="E300" s="81"/>
      <c r="F300" s="74"/>
      <c r="G300" s="81"/>
      <c r="H300" s="81"/>
      <c r="I300" s="81"/>
      <c r="J300" s="81"/>
      <c r="K300" s="74"/>
      <c r="L300" s="81"/>
      <c r="M300" s="81"/>
      <c r="N300" s="81"/>
      <c r="O300" s="81"/>
      <c r="P300" s="74"/>
    </row>
    <row r="301">
      <c r="A301" s="74"/>
      <c r="B301" s="81"/>
      <c r="C301" s="81"/>
      <c r="D301" s="81"/>
      <c r="E301" s="81"/>
      <c r="F301" s="74"/>
      <c r="G301" s="81"/>
      <c r="H301" s="81"/>
      <c r="I301" s="81"/>
      <c r="J301" s="81"/>
      <c r="K301" s="74"/>
      <c r="L301" s="81"/>
      <c r="M301" s="81"/>
      <c r="N301" s="81"/>
      <c r="O301" s="81"/>
      <c r="P301" s="74"/>
    </row>
    <row r="302">
      <c r="A302" s="74"/>
      <c r="B302" s="81"/>
      <c r="C302" s="81"/>
      <c r="D302" s="81"/>
      <c r="E302" s="81"/>
      <c r="F302" s="74"/>
      <c r="G302" s="81"/>
      <c r="H302" s="81"/>
      <c r="I302" s="81"/>
      <c r="J302" s="81"/>
      <c r="K302" s="74"/>
      <c r="L302" s="81"/>
      <c r="M302" s="81"/>
      <c r="N302" s="81"/>
      <c r="O302" s="81"/>
      <c r="P302" s="74"/>
    </row>
    <row r="303">
      <c r="A303" s="74"/>
      <c r="B303" s="81"/>
      <c r="C303" s="81"/>
      <c r="D303" s="81"/>
      <c r="E303" s="81"/>
      <c r="F303" s="74"/>
      <c r="G303" s="81"/>
      <c r="H303" s="81"/>
      <c r="I303" s="81"/>
      <c r="J303" s="81"/>
      <c r="K303" s="74"/>
      <c r="L303" s="81"/>
      <c r="M303" s="81"/>
      <c r="N303" s="81"/>
      <c r="O303" s="81"/>
      <c r="P303" s="74"/>
    </row>
    <row r="304">
      <c r="A304" s="74"/>
      <c r="B304" s="81"/>
      <c r="C304" s="81"/>
      <c r="D304" s="81"/>
      <c r="E304" s="81"/>
      <c r="F304" s="74"/>
      <c r="G304" s="81"/>
      <c r="H304" s="81"/>
      <c r="I304" s="81"/>
      <c r="J304" s="81"/>
      <c r="K304" s="74"/>
      <c r="L304" s="81"/>
      <c r="M304" s="81"/>
      <c r="N304" s="81"/>
      <c r="O304" s="81"/>
      <c r="P304" s="74"/>
    </row>
    <row r="305">
      <c r="A305" s="74"/>
      <c r="B305" s="81"/>
      <c r="C305" s="81"/>
      <c r="D305" s="81"/>
      <c r="E305" s="81"/>
      <c r="F305" s="74"/>
      <c r="G305" s="81"/>
      <c r="H305" s="81"/>
      <c r="I305" s="81"/>
      <c r="J305" s="81"/>
      <c r="K305" s="74"/>
      <c r="L305" s="81"/>
      <c r="M305" s="81"/>
      <c r="N305" s="81"/>
      <c r="O305" s="81"/>
      <c r="P305" s="74"/>
    </row>
    <row r="306">
      <c r="A306" s="74"/>
      <c r="B306" s="81"/>
      <c r="C306" s="81"/>
      <c r="D306" s="81"/>
      <c r="E306" s="81"/>
      <c r="F306" s="74"/>
      <c r="G306" s="81"/>
      <c r="H306" s="81"/>
      <c r="I306" s="81"/>
      <c r="J306" s="81"/>
      <c r="K306" s="74"/>
      <c r="L306" s="81"/>
      <c r="M306" s="81"/>
      <c r="N306" s="81"/>
      <c r="O306" s="81"/>
      <c r="P306" s="74"/>
    </row>
    <row r="307">
      <c r="A307" s="74"/>
      <c r="B307" s="81"/>
      <c r="C307" s="81"/>
      <c r="D307" s="81"/>
      <c r="E307" s="81"/>
      <c r="F307" s="74"/>
      <c r="G307" s="81"/>
      <c r="H307" s="81"/>
      <c r="I307" s="81"/>
      <c r="J307" s="81"/>
      <c r="K307" s="74"/>
      <c r="L307" s="81"/>
      <c r="M307" s="81"/>
      <c r="N307" s="81"/>
      <c r="O307" s="81"/>
      <c r="P307" s="74"/>
    </row>
    <row r="308">
      <c r="A308" s="74"/>
      <c r="B308" s="81"/>
      <c r="C308" s="81"/>
      <c r="D308" s="81"/>
      <c r="E308" s="81"/>
      <c r="F308" s="74"/>
      <c r="G308" s="81"/>
      <c r="H308" s="81"/>
      <c r="I308" s="81"/>
      <c r="J308" s="81"/>
      <c r="K308" s="74"/>
      <c r="L308" s="81"/>
      <c r="M308" s="81"/>
      <c r="N308" s="81"/>
      <c r="O308" s="81"/>
      <c r="P308" s="74"/>
    </row>
    <row r="309">
      <c r="A309" s="74"/>
      <c r="B309" s="81"/>
      <c r="C309" s="81"/>
      <c r="D309" s="81"/>
      <c r="E309" s="81"/>
      <c r="F309" s="74"/>
      <c r="G309" s="81"/>
      <c r="H309" s="81"/>
      <c r="I309" s="81"/>
      <c r="J309" s="81"/>
      <c r="K309" s="74"/>
      <c r="L309" s="81"/>
      <c r="M309" s="81"/>
      <c r="N309" s="81"/>
      <c r="O309" s="81"/>
      <c r="P309" s="74"/>
    </row>
    <row r="310">
      <c r="A310" s="74"/>
      <c r="B310" s="81"/>
      <c r="C310" s="81"/>
      <c r="D310" s="81"/>
      <c r="E310" s="81"/>
      <c r="F310" s="74"/>
      <c r="G310" s="81"/>
      <c r="H310" s="81"/>
      <c r="I310" s="81"/>
      <c r="J310" s="81"/>
      <c r="K310" s="74"/>
      <c r="L310" s="81"/>
      <c r="M310" s="81"/>
      <c r="N310" s="81"/>
      <c r="O310" s="81"/>
      <c r="P310" s="74"/>
    </row>
    <row r="311">
      <c r="A311" s="74"/>
      <c r="B311" s="81"/>
      <c r="C311" s="81"/>
      <c r="D311" s="81"/>
      <c r="E311" s="81"/>
      <c r="F311" s="74"/>
      <c r="G311" s="81"/>
      <c r="H311" s="81"/>
      <c r="I311" s="81"/>
      <c r="J311" s="81"/>
      <c r="K311" s="74"/>
      <c r="L311" s="81"/>
      <c r="M311" s="81"/>
      <c r="N311" s="81"/>
      <c r="O311" s="81"/>
      <c r="P311" s="74"/>
    </row>
    <row r="312">
      <c r="A312" s="74"/>
      <c r="B312" s="81"/>
      <c r="C312" s="81"/>
      <c r="D312" s="81"/>
      <c r="E312" s="81"/>
      <c r="F312" s="74"/>
      <c r="G312" s="81"/>
      <c r="H312" s="81"/>
      <c r="I312" s="81"/>
      <c r="J312" s="81"/>
      <c r="K312" s="74"/>
      <c r="L312" s="81"/>
      <c r="M312" s="81"/>
      <c r="N312" s="81"/>
      <c r="O312" s="81"/>
      <c r="P312" s="74"/>
    </row>
    <row r="313">
      <c r="A313" s="74"/>
      <c r="B313" s="81"/>
      <c r="C313" s="81"/>
      <c r="D313" s="81"/>
      <c r="E313" s="81"/>
      <c r="F313" s="74"/>
      <c r="G313" s="81"/>
      <c r="H313" s="81"/>
      <c r="I313" s="81"/>
      <c r="J313" s="81"/>
      <c r="K313" s="74"/>
      <c r="L313" s="81"/>
      <c r="M313" s="81"/>
      <c r="N313" s="81"/>
      <c r="O313" s="81"/>
      <c r="P313" s="74"/>
    </row>
    <row r="314">
      <c r="A314" s="74"/>
      <c r="B314" s="81"/>
      <c r="C314" s="81"/>
      <c r="D314" s="81"/>
      <c r="E314" s="81"/>
      <c r="F314" s="74"/>
      <c r="G314" s="81"/>
      <c r="H314" s="81"/>
      <c r="I314" s="81"/>
      <c r="J314" s="81"/>
      <c r="K314" s="74"/>
      <c r="L314" s="81"/>
      <c r="M314" s="81"/>
      <c r="N314" s="81"/>
      <c r="O314" s="81"/>
      <c r="P314" s="74"/>
    </row>
    <row r="315">
      <c r="A315" s="74"/>
      <c r="B315" s="81"/>
      <c r="C315" s="81"/>
      <c r="D315" s="81"/>
      <c r="E315" s="81"/>
      <c r="F315" s="74"/>
      <c r="G315" s="81"/>
      <c r="H315" s="81"/>
      <c r="I315" s="81"/>
      <c r="J315" s="81"/>
      <c r="K315" s="74"/>
      <c r="L315" s="81"/>
      <c r="M315" s="81"/>
      <c r="N315" s="81"/>
      <c r="O315" s="81"/>
      <c r="P315" s="74"/>
    </row>
    <row r="316">
      <c r="A316" s="74"/>
      <c r="B316" s="81"/>
      <c r="C316" s="81"/>
      <c r="D316" s="81"/>
      <c r="E316" s="81"/>
      <c r="F316" s="74"/>
      <c r="G316" s="81"/>
      <c r="H316" s="81"/>
      <c r="I316" s="81"/>
      <c r="J316" s="81"/>
      <c r="K316" s="74"/>
      <c r="L316" s="81"/>
      <c r="M316" s="81"/>
      <c r="N316" s="81"/>
      <c r="O316" s="81"/>
      <c r="P316" s="74"/>
    </row>
    <row r="317">
      <c r="A317" s="74"/>
      <c r="B317" s="81"/>
      <c r="C317" s="81"/>
      <c r="D317" s="81"/>
      <c r="E317" s="81"/>
      <c r="F317" s="74"/>
      <c r="G317" s="81"/>
      <c r="H317" s="81"/>
      <c r="I317" s="81"/>
      <c r="J317" s="81"/>
      <c r="K317" s="74"/>
      <c r="L317" s="81"/>
      <c r="M317" s="81"/>
      <c r="N317" s="81"/>
      <c r="O317" s="81"/>
      <c r="P317" s="74"/>
    </row>
    <row r="318">
      <c r="A318" s="74"/>
      <c r="B318" s="81"/>
      <c r="C318" s="81"/>
      <c r="D318" s="81"/>
      <c r="E318" s="81"/>
      <c r="F318" s="74"/>
      <c r="G318" s="81"/>
      <c r="H318" s="81"/>
      <c r="I318" s="81"/>
      <c r="J318" s="81"/>
      <c r="K318" s="74"/>
      <c r="L318" s="81"/>
      <c r="M318" s="81"/>
      <c r="N318" s="81"/>
      <c r="O318" s="81"/>
      <c r="P318" s="74"/>
    </row>
    <row r="319">
      <c r="A319" s="74"/>
      <c r="B319" s="81"/>
      <c r="C319" s="81"/>
      <c r="D319" s="81"/>
      <c r="E319" s="81"/>
      <c r="F319" s="74"/>
      <c r="G319" s="81"/>
      <c r="H319" s="81"/>
      <c r="I319" s="81"/>
      <c r="J319" s="81"/>
      <c r="K319" s="74"/>
      <c r="L319" s="81"/>
      <c r="M319" s="81"/>
      <c r="N319" s="81"/>
      <c r="O319" s="81"/>
      <c r="P319" s="74"/>
    </row>
    <row r="320">
      <c r="A320" s="74"/>
      <c r="B320" s="81"/>
      <c r="C320" s="81"/>
      <c r="D320" s="81"/>
      <c r="E320" s="81"/>
      <c r="F320" s="74"/>
      <c r="G320" s="81"/>
      <c r="H320" s="81"/>
      <c r="I320" s="81"/>
      <c r="J320" s="81"/>
      <c r="K320" s="74"/>
      <c r="L320" s="81"/>
      <c r="M320" s="81"/>
      <c r="N320" s="81"/>
      <c r="O320" s="81"/>
      <c r="P320" s="74"/>
    </row>
    <row r="321">
      <c r="A321" s="74"/>
      <c r="B321" s="81"/>
      <c r="C321" s="81"/>
      <c r="D321" s="81"/>
      <c r="E321" s="81"/>
      <c r="F321" s="74"/>
      <c r="G321" s="81"/>
      <c r="H321" s="81"/>
      <c r="I321" s="81"/>
      <c r="J321" s="81"/>
      <c r="K321" s="74"/>
      <c r="L321" s="81"/>
      <c r="M321" s="81"/>
      <c r="N321" s="81"/>
      <c r="O321" s="81"/>
      <c r="P321" s="74"/>
    </row>
    <row r="322">
      <c r="A322" s="74"/>
      <c r="B322" s="81"/>
      <c r="C322" s="81"/>
      <c r="D322" s="81"/>
      <c r="E322" s="81"/>
      <c r="F322" s="74"/>
      <c r="G322" s="81"/>
      <c r="H322" s="81"/>
      <c r="I322" s="81"/>
      <c r="J322" s="81"/>
      <c r="K322" s="74"/>
      <c r="L322" s="81"/>
      <c r="M322" s="81"/>
      <c r="N322" s="81"/>
      <c r="O322" s="81"/>
      <c r="P322" s="74"/>
    </row>
    <row r="323">
      <c r="A323" s="74"/>
      <c r="B323" s="81"/>
      <c r="C323" s="81"/>
      <c r="D323" s="81"/>
      <c r="E323" s="81"/>
      <c r="F323" s="74"/>
      <c r="G323" s="81"/>
      <c r="H323" s="81"/>
      <c r="I323" s="81"/>
      <c r="J323" s="81"/>
      <c r="K323" s="74"/>
      <c r="L323" s="81"/>
      <c r="M323" s="81"/>
      <c r="N323" s="81"/>
      <c r="O323" s="81"/>
      <c r="P323" s="74"/>
    </row>
    <row r="324">
      <c r="A324" s="74"/>
      <c r="B324" s="81"/>
      <c r="C324" s="81"/>
      <c r="D324" s="81"/>
      <c r="E324" s="81"/>
      <c r="F324" s="74"/>
      <c r="G324" s="81"/>
      <c r="H324" s="81"/>
      <c r="I324" s="81"/>
      <c r="J324" s="81"/>
      <c r="K324" s="74"/>
      <c r="L324" s="81"/>
      <c r="M324" s="81"/>
      <c r="N324" s="81"/>
      <c r="O324" s="81"/>
      <c r="P324" s="74"/>
    </row>
    <row r="325">
      <c r="A325" s="74"/>
      <c r="B325" s="81"/>
      <c r="C325" s="81"/>
      <c r="D325" s="81"/>
      <c r="E325" s="81"/>
      <c r="F325" s="74"/>
      <c r="G325" s="81"/>
      <c r="H325" s="81"/>
      <c r="I325" s="81"/>
      <c r="J325" s="81"/>
      <c r="K325" s="74"/>
      <c r="L325" s="81"/>
      <c r="M325" s="81"/>
      <c r="N325" s="81"/>
      <c r="O325" s="81"/>
      <c r="P325" s="74"/>
    </row>
    <row r="326">
      <c r="A326" s="74"/>
      <c r="B326" s="81"/>
      <c r="C326" s="81"/>
      <c r="D326" s="81"/>
      <c r="E326" s="81"/>
      <c r="F326" s="74"/>
      <c r="G326" s="81"/>
      <c r="H326" s="81"/>
      <c r="I326" s="81"/>
      <c r="J326" s="81"/>
      <c r="K326" s="74"/>
      <c r="L326" s="81"/>
      <c r="M326" s="81"/>
      <c r="N326" s="81"/>
      <c r="O326" s="81"/>
      <c r="P326" s="74"/>
    </row>
    <row r="327">
      <c r="A327" s="74"/>
      <c r="B327" s="81"/>
      <c r="C327" s="81"/>
      <c r="D327" s="81"/>
      <c r="E327" s="81"/>
      <c r="F327" s="74"/>
      <c r="G327" s="81"/>
      <c r="H327" s="81"/>
      <c r="I327" s="81"/>
      <c r="J327" s="81"/>
      <c r="K327" s="74"/>
      <c r="L327" s="81"/>
      <c r="M327" s="81"/>
      <c r="N327" s="81"/>
      <c r="O327" s="81"/>
      <c r="P327" s="74"/>
    </row>
    <row r="328">
      <c r="A328" s="74"/>
      <c r="B328" s="81"/>
      <c r="C328" s="81"/>
      <c r="D328" s="81"/>
      <c r="E328" s="81"/>
      <c r="F328" s="74"/>
      <c r="G328" s="81"/>
      <c r="H328" s="81"/>
      <c r="I328" s="81"/>
      <c r="J328" s="81"/>
      <c r="K328" s="74"/>
      <c r="L328" s="81"/>
      <c r="M328" s="81"/>
      <c r="N328" s="81"/>
      <c r="O328" s="81"/>
      <c r="P328" s="74"/>
    </row>
    <row r="329">
      <c r="A329" s="74"/>
      <c r="B329" s="81"/>
      <c r="C329" s="81"/>
      <c r="D329" s="81"/>
      <c r="E329" s="81"/>
      <c r="F329" s="74"/>
      <c r="G329" s="81"/>
      <c r="H329" s="81"/>
      <c r="I329" s="81"/>
      <c r="J329" s="81"/>
      <c r="K329" s="74"/>
      <c r="L329" s="81"/>
      <c r="M329" s="81"/>
      <c r="N329" s="81"/>
      <c r="O329" s="81"/>
      <c r="P329" s="74"/>
    </row>
    <row r="330">
      <c r="A330" s="74"/>
      <c r="B330" s="81"/>
      <c r="C330" s="81"/>
      <c r="D330" s="81"/>
      <c r="E330" s="81"/>
      <c r="F330" s="74"/>
      <c r="G330" s="81"/>
      <c r="H330" s="81"/>
      <c r="I330" s="81"/>
      <c r="J330" s="81"/>
      <c r="K330" s="74"/>
      <c r="L330" s="81"/>
      <c r="M330" s="81"/>
      <c r="N330" s="81"/>
      <c r="O330" s="81"/>
      <c r="P330" s="74"/>
    </row>
    <row r="331">
      <c r="A331" s="74"/>
      <c r="B331" s="81"/>
      <c r="C331" s="81"/>
      <c r="D331" s="81"/>
      <c r="E331" s="81"/>
      <c r="F331" s="74"/>
      <c r="G331" s="81"/>
      <c r="H331" s="81"/>
      <c r="I331" s="81"/>
      <c r="J331" s="81"/>
      <c r="K331" s="74"/>
      <c r="L331" s="81"/>
      <c r="M331" s="81"/>
      <c r="N331" s="81"/>
      <c r="O331" s="81"/>
      <c r="P331" s="74"/>
    </row>
    <row r="332">
      <c r="A332" s="74"/>
      <c r="B332" s="81"/>
      <c r="C332" s="81"/>
      <c r="D332" s="81"/>
      <c r="E332" s="81"/>
      <c r="F332" s="74"/>
      <c r="G332" s="81"/>
      <c r="H332" s="81"/>
      <c r="I332" s="81"/>
      <c r="J332" s="81"/>
      <c r="K332" s="74"/>
      <c r="L332" s="81"/>
      <c r="M332" s="81"/>
      <c r="N332" s="81"/>
      <c r="O332" s="81"/>
      <c r="P332" s="74"/>
    </row>
    <row r="333">
      <c r="A333" s="74"/>
      <c r="B333" s="81"/>
      <c r="C333" s="81"/>
      <c r="D333" s="81"/>
      <c r="E333" s="81"/>
      <c r="F333" s="74"/>
      <c r="G333" s="81"/>
      <c r="H333" s="81"/>
      <c r="I333" s="81"/>
      <c r="J333" s="81"/>
      <c r="K333" s="74"/>
      <c r="L333" s="81"/>
      <c r="M333" s="81"/>
      <c r="N333" s="81"/>
      <c r="O333" s="81"/>
      <c r="P333" s="74"/>
    </row>
    <row r="334">
      <c r="A334" s="74"/>
      <c r="B334" s="81"/>
      <c r="C334" s="81"/>
      <c r="D334" s="81"/>
      <c r="E334" s="81"/>
      <c r="F334" s="74"/>
      <c r="G334" s="81"/>
      <c r="H334" s="81"/>
      <c r="I334" s="81"/>
      <c r="J334" s="81"/>
      <c r="K334" s="74"/>
      <c r="L334" s="81"/>
      <c r="M334" s="81"/>
      <c r="N334" s="81"/>
      <c r="O334" s="81"/>
      <c r="P334" s="74"/>
    </row>
    <row r="335">
      <c r="A335" s="74"/>
      <c r="B335" s="81"/>
      <c r="C335" s="81"/>
      <c r="D335" s="81"/>
      <c r="E335" s="81"/>
      <c r="F335" s="74"/>
      <c r="G335" s="81"/>
      <c r="H335" s="81"/>
      <c r="I335" s="81"/>
      <c r="J335" s="81"/>
      <c r="K335" s="74"/>
      <c r="L335" s="81"/>
      <c r="M335" s="81"/>
      <c r="N335" s="81"/>
      <c r="O335" s="81"/>
      <c r="P335" s="74"/>
    </row>
    <row r="336">
      <c r="A336" s="74"/>
      <c r="B336" s="81"/>
      <c r="C336" s="81"/>
      <c r="D336" s="81"/>
      <c r="E336" s="81"/>
      <c r="F336" s="74"/>
      <c r="G336" s="81"/>
      <c r="H336" s="81"/>
      <c r="I336" s="81"/>
      <c r="J336" s="81"/>
      <c r="K336" s="74"/>
      <c r="L336" s="81"/>
      <c r="M336" s="81"/>
      <c r="N336" s="81"/>
      <c r="O336" s="81"/>
      <c r="P336" s="74"/>
    </row>
    <row r="337">
      <c r="A337" s="74"/>
      <c r="B337" s="81"/>
      <c r="C337" s="81"/>
      <c r="D337" s="81"/>
      <c r="E337" s="81"/>
      <c r="F337" s="74"/>
      <c r="G337" s="81"/>
      <c r="H337" s="81"/>
      <c r="I337" s="81"/>
      <c r="J337" s="81"/>
      <c r="K337" s="74"/>
      <c r="L337" s="81"/>
      <c r="M337" s="81"/>
      <c r="N337" s="81"/>
      <c r="O337" s="81"/>
      <c r="P337" s="74"/>
    </row>
    <row r="338">
      <c r="A338" s="74"/>
      <c r="B338" s="81"/>
      <c r="C338" s="81"/>
      <c r="D338" s="81"/>
      <c r="E338" s="81"/>
      <c r="F338" s="74"/>
      <c r="G338" s="81"/>
      <c r="H338" s="81"/>
      <c r="I338" s="81"/>
      <c r="J338" s="81"/>
      <c r="K338" s="74"/>
      <c r="L338" s="81"/>
      <c r="M338" s="81"/>
      <c r="N338" s="81"/>
      <c r="O338" s="81"/>
      <c r="P338" s="74"/>
    </row>
    <row r="339">
      <c r="A339" s="74"/>
      <c r="B339" s="81"/>
      <c r="C339" s="81"/>
      <c r="D339" s="81"/>
      <c r="E339" s="81"/>
      <c r="F339" s="74"/>
      <c r="G339" s="81"/>
      <c r="H339" s="81"/>
      <c r="I339" s="81"/>
      <c r="J339" s="81"/>
      <c r="K339" s="74"/>
      <c r="L339" s="81"/>
      <c r="M339" s="81"/>
      <c r="N339" s="81"/>
      <c r="O339" s="81"/>
      <c r="P339" s="74"/>
    </row>
    <row r="340">
      <c r="A340" s="74"/>
      <c r="B340" s="81"/>
      <c r="C340" s="81"/>
      <c r="D340" s="81"/>
      <c r="E340" s="81"/>
      <c r="F340" s="74"/>
      <c r="G340" s="81"/>
      <c r="H340" s="81"/>
      <c r="I340" s="81"/>
      <c r="J340" s="81"/>
      <c r="K340" s="74"/>
      <c r="L340" s="81"/>
      <c r="M340" s="81"/>
      <c r="N340" s="81"/>
      <c r="O340" s="81"/>
      <c r="P340" s="74"/>
    </row>
    <row r="341">
      <c r="A341" s="74"/>
      <c r="B341" s="81"/>
      <c r="C341" s="81"/>
      <c r="D341" s="81"/>
      <c r="E341" s="81"/>
      <c r="F341" s="74"/>
      <c r="G341" s="81"/>
      <c r="H341" s="81"/>
      <c r="I341" s="81"/>
      <c r="J341" s="81"/>
      <c r="K341" s="74"/>
      <c r="L341" s="81"/>
      <c r="M341" s="81"/>
      <c r="N341" s="81"/>
      <c r="O341" s="81"/>
      <c r="P341" s="74"/>
    </row>
    <row r="342">
      <c r="A342" s="74"/>
      <c r="B342" s="81"/>
      <c r="C342" s="81"/>
      <c r="D342" s="81"/>
      <c r="E342" s="81"/>
      <c r="F342" s="74"/>
      <c r="G342" s="81"/>
      <c r="H342" s="81"/>
      <c r="I342" s="81"/>
      <c r="J342" s="81"/>
      <c r="K342" s="74"/>
      <c r="L342" s="81"/>
      <c r="M342" s="81"/>
      <c r="N342" s="81"/>
      <c r="O342" s="81"/>
      <c r="P342" s="74"/>
    </row>
    <row r="343">
      <c r="A343" s="74"/>
      <c r="B343" s="81"/>
      <c r="C343" s="81"/>
      <c r="D343" s="81"/>
      <c r="E343" s="81"/>
      <c r="F343" s="74"/>
      <c r="G343" s="81"/>
      <c r="H343" s="81"/>
      <c r="I343" s="81"/>
      <c r="J343" s="81"/>
      <c r="K343" s="74"/>
      <c r="L343" s="81"/>
      <c r="M343" s="81"/>
      <c r="N343" s="81"/>
      <c r="O343" s="81"/>
      <c r="P343" s="74"/>
    </row>
    <row r="344">
      <c r="A344" s="74"/>
      <c r="B344" s="81"/>
      <c r="C344" s="81"/>
      <c r="D344" s="81"/>
      <c r="E344" s="81"/>
      <c r="F344" s="74"/>
      <c r="G344" s="81"/>
      <c r="H344" s="81"/>
      <c r="I344" s="81"/>
      <c r="J344" s="81"/>
      <c r="K344" s="74"/>
      <c r="L344" s="81"/>
      <c r="M344" s="81"/>
      <c r="N344" s="81"/>
      <c r="O344" s="81"/>
      <c r="P344" s="74"/>
    </row>
    <row r="345">
      <c r="A345" s="74"/>
      <c r="B345" s="81"/>
      <c r="C345" s="81"/>
      <c r="D345" s="81"/>
      <c r="E345" s="81"/>
      <c r="F345" s="74"/>
      <c r="G345" s="81"/>
      <c r="H345" s="81"/>
      <c r="I345" s="81"/>
      <c r="J345" s="81"/>
      <c r="K345" s="74"/>
      <c r="L345" s="81"/>
      <c r="M345" s="81"/>
      <c r="N345" s="81"/>
      <c r="O345" s="81"/>
      <c r="P345" s="74"/>
    </row>
    <row r="346">
      <c r="A346" s="74"/>
      <c r="B346" s="81"/>
      <c r="C346" s="81"/>
      <c r="D346" s="81"/>
      <c r="E346" s="81"/>
      <c r="F346" s="74"/>
      <c r="G346" s="81"/>
      <c r="H346" s="81"/>
      <c r="I346" s="81"/>
      <c r="J346" s="81"/>
      <c r="K346" s="74"/>
      <c r="L346" s="81"/>
      <c r="M346" s="81"/>
      <c r="N346" s="81"/>
      <c r="O346" s="81"/>
      <c r="P346" s="74"/>
    </row>
    <row r="347">
      <c r="A347" s="74"/>
      <c r="B347" s="81"/>
      <c r="C347" s="81"/>
      <c r="D347" s="81"/>
      <c r="E347" s="81"/>
      <c r="F347" s="74"/>
      <c r="G347" s="81"/>
      <c r="H347" s="81"/>
      <c r="I347" s="81"/>
      <c r="J347" s="81"/>
      <c r="K347" s="74"/>
      <c r="L347" s="81"/>
      <c r="M347" s="81"/>
      <c r="N347" s="81"/>
      <c r="O347" s="81"/>
      <c r="P347" s="74"/>
    </row>
    <row r="348">
      <c r="A348" s="74"/>
      <c r="B348" s="81"/>
      <c r="C348" s="81"/>
      <c r="D348" s="81"/>
      <c r="E348" s="81"/>
      <c r="F348" s="74"/>
      <c r="G348" s="81"/>
      <c r="H348" s="81"/>
      <c r="I348" s="81"/>
      <c r="J348" s="81"/>
      <c r="K348" s="74"/>
      <c r="L348" s="81"/>
      <c r="M348" s="81"/>
      <c r="N348" s="81"/>
      <c r="O348" s="81"/>
      <c r="P348" s="74"/>
    </row>
    <row r="349">
      <c r="A349" s="74"/>
      <c r="B349" s="81"/>
      <c r="C349" s="81"/>
      <c r="D349" s="81"/>
      <c r="E349" s="81"/>
      <c r="F349" s="74"/>
      <c r="G349" s="81"/>
      <c r="H349" s="81"/>
      <c r="I349" s="81"/>
      <c r="J349" s="81"/>
      <c r="K349" s="74"/>
      <c r="L349" s="81"/>
      <c r="M349" s="81"/>
      <c r="N349" s="81"/>
      <c r="O349" s="81"/>
      <c r="P349" s="74"/>
    </row>
    <row r="350">
      <c r="A350" s="74"/>
      <c r="B350" s="81"/>
      <c r="C350" s="81"/>
      <c r="D350" s="81"/>
      <c r="E350" s="81"/>
      <c r="F350" s="74"/>
      <c r="G350" s="81"/>
      <c r="H350" s="81"/>
      <c r="I350" s="81"/>
      <c r="J350" s="81"/>
      <c r="K350" s="74"/>
      <c r="L350" s="81"/>
      <c r="M350" s="81"/>
      <c r="N350" s="81"/>
      <c r="O350" s="81"/>
      <c r="P350" s="74"/>
    </row>
    <row r="351">
      <c r="A351" s="74"/>
      <c r="B351" s="81"/>
      <c r="C351" s="81"/>
      <c r="D351" s="81"/>
      <c r="E351" s="81"/>
      <c r="F351" s="74"/>
      <c r="G351" s="81"/>
      <c r="H351" s="81"/>
      <c r="I351" s="81"/>
      <c r="J351" s="81"/>
      <c r="K351" s="74"/>
      <c r="L351" s="81"/>
      <c r="M351" s="81"/>
      <c r="N351" s="81"/>
      <c r="O351" s="81"/>
      <c r="P351" s="74"/>
    </row>
    <row r="352">
      <c r="A352" s="74"/>
      <c r="B352" s="81"/>
      <c r="C352" s="81"/>
      <c r="D352" s="81"/>
      <c r="E352" s="81"/>
      <c r="F352" s="74"/>
      <c r="G352" s="81"/>
      <c r="H352" s="81"/>
      <c r="I352" s="81"/>
      <c r="J352" s="81"/>
      <c r="K352" s="74"/>
      <c r="L352" s="81"/>
      <c r="M352" s="81"/>
      <c r="N352" s="81"/>
      <c r="O352" s="81"/>
      <c r="P352" s="74"/>
    </row>
    <row r="353">
      <c r="A353" s="74"/>
      <c r="B353" s="81"/>
      <c r="C353" s="81"/>
      <c r="D353" s="81"/>
      <c r="E353" s="81"/>
      <c r="F353" s="74"/>
      <c r="G353" s="81"/>
      <c r="H353" s="81"/>
      <c r="I353" s="81"/>
      <c r="J353" s="81"/>
      <c r="K353" s="74"/>
      <c r="L353" s="81"/>
      <c r="M353" s="81"/>
      <c r="N353" s="81"/>
      <c r="O353" s="81"/>
      <c r="P353" s="74"/>
    </row>
    <row r="354">
      <c r="A354" s="74"/>
      <c r="B354" s="81"/>
      <c r="C354" s="81"/>
      <c r="D354" s="81"/>
      <c r="E354" s="81"/>
      <c r="F354" s="74"/>
      <c r="G354" s="81"/>
      <c r="H354" s="81"/>
      <c r="I354" s="81"/>
      <c r="J354" s="81"/>
      <c r="K354" s="74"/>
      <c r="L354" s="81"/>
      <c r="M354" s="81"/>
      <c r="N354" s="81"/>
      <c r="O354" s="81"/>
      <c r="P354" s="74"/>
    </row>
    <row r="355">
      <c r="A355" s="74"/>
      <c r="B355" s="81"/>
      <c r="C355" s="81"/>
      <c r="D355" s="81"/>
      <c r="E355" s="81"/>
      <c r="F355" s="74"/>
      <c r="G355" s="81"/>
      <c r="H355" s="81"/>
      <c r="I355" s="81"/>
      <c r="J355" s="81"/>
      <c r="K355" s="74"/>
      <c r="L355" s="81"/>
      <c r="M355" s="81"/>
      <c r="N355" s="81"/>
      <c r="O355" s="81"/>
      <c r="P355" s="74"/>
    </row>
    <row r="356">
      <c r="A356" s="74"/>
      <c r="B356" s="81"/>
      <c r="C356" s="81"/>
      <c r="D356" s="81"/>
      <c r="E356" s="81"/>
      <c r="F356" s="74"/>
      <c r="G356" s="81"/>
      <c r="H356" s="81"/>
      <c r="I356" s="81"/>
      <c r="J356" s="81"/>
      <c r="K356" s="74"/>
      <c r="L356" s="81"/>
      <c r="M356" s="81"/>
      <c r="N356" s="81"/>
      <c r="O356" s="81"/>
      <c r="P356" s="74"/>
    </row>
    <row r="357">
      <c r="A357" s="74"/>
      <c r="B357" s="81"/>
      <c r="C357" s="81"/>
      <c r="D357" s="81"/>
      <c r="E357" s="81"/>
      <c r="F357" s="74"/>
      <c r="G357" s="81"/>
      <c r="H357" s="81"/>
      <c r="I357" s="81"/>
      <c r="J357" s="81"/>
      <c r="K357" s="74"/>
      <c r="L357" s="81"/>
      <c r="M357" s="81"/>
      <c r="N357" s="81"/>
      <c r="O357" s="81"/>
      <c r="P357" s="74"/>
    </row>
    <row r="358">
      <c r="A358" s="74"/>
      <c r="B358" s="81"/>
      <c r="C358" s="81"/>
      <c r="D358" s="81"/>
      <c r="E358" s="81"/>
      <c r="F358" s="74"/>
      <c r="G358" s="81"/>
      <c r="H358" s="81"/>
      <c r="I358" s="81"/>
      <c r="J358" s="81"/>
      <c r="K358" s="74"/>
      <c r="L358" s="81"/>
      <c r="M358" s="81"/>
      <c r="N358" s="81"/>
      <c r="O358" s="81"/>
      <c r="P358" s="74"/>
    </row>
    <row r="359">
      <c r="A359" s="74"/>
      <c r="B359" s="81"/>
      <c r="C359" s="81"/>
      <c r="D359" s="81"/>
      <c r="E359" s="81"/>
      <c r="F359" s="74"/>
      <c r="G359" s="81"/>
      <c r="H359" s="81"/>
      <c r="I359" s="81"/>
      <c r="J359" s="81"/>
      <c r="K359" s="74"/>
      <c r="L359" s="81"/>
      <c r="M359" s="81"/>
      <c r="N359" s="81"/>
      <c r="O359" s="81"/>
      <c r="P359" s="74"/>
    </row>
    <row r="360">
      <c r="A360" s="74"/>
      <c r="B360" s="81"/>
      <c r="C360" s="81"/>
      <c r="D360" s="81"/>
      <c r="E360" s="81"/>
      <c r="F360" s="74"/>
      <c r="G360" s="81"/>
      <c r="H360" s="81"/>
      <c r="I360" s="81"/>
      <c r="J360" s="81"/>
      <c r="K360" s="74"/>
      <c r="L360" s="81"/>
      <c r="M360" s="81"/>
      <c r="N360" s="81"/>
      <c r="O360" s="81"/>
      <c r="P360" s="74"/>
    </row>
    <row r="361">
      <c r="A361" s="74"/>
      <c r="B361" s="81"/>
      <c r="C361" s="81"/>
      <c r="D361" s="81"/>
      <c r="E361" s="81"/>
      <c r="F361" s="74"/>
      <c r="G361" s="81"/>
      <c r="H361" s="81"/>
      <c r="I361" s="81"/>
      <c r="J361" s="81"/>
      <c r="K361" s="74"/>
      <c r="L361" s="81"/>
      <c r="M361" s="81"/>
      <c r="N361" s="81"/>
      <c r="O361" s="81"/>
      <c r="P361" s="74"/>
    </row>
    <row r="362">
      <c r="A362" s="74"/>
      <c r="B362" s="81"/>
      <c r="C362" s="81"/>
      <c r="D362" s="81"/>
      <c r="E362" s="81"/>
      <c r="F362" s="74"/>
      <c r="G362" s="81"/>
      <c r="H362" s="81"/>
      <c r="I362" s="81"/>
      <c r="J362" s="81"/>
      <c r="K362" s="74"/>
      <c r="L362" s="81"/>
      <c r="M362" s="81"/>
      <c r="N362" s="81"/>
      <c r="O362" s="81"/>
      <c r="P362" s="74"/>
    </row>
    <row r="363">
      <c r="A363" s="74"/>
      <c r="B363" s="81"/>
      <c r="C363" s="81"/>
      <c r="D363" s="81"/>
      <c r="E363" s="81"/>
      <c r="F363" s="74"/>
      <c r="G363" s="81"/>
      <c r="H363" s="81"/>
      <c r="I363" s="81"/>
      <c r="J363" s="81"/>
      <c r="K363" s="74"/>
      <c r="L363" s="81"/>
      <c r="M363" s="81"/>
      <c r="N363" s="81"/>
      <c r="O363" s="81"/>
      <c r="P363" s="74"/>
    </row>
    <row r="364">
      <c r="A364" s="74"/>
      <c r="B364" s="81"/>
      <c r="C364" s="81"/>
      <c r="D364" s="81"/>
      <c r="E364" s="81"/>
      <c r="F364" s="74"/>
      <c r="G364" s="81"/>
      <c r="H364" s="81"/>
      <c r="I364" s="81"/>
      <c r="J364" s="81"/>
      <c r="K364" s="74"/>
      <c r="L364" s="81"/>
      <c r="M364" s="81"/>
      <c r="N364" s="81"/>
      <c r="O364" s="81"/>
      <c r="P364" s="74"/>
    </row>
    <row r="365">
      <c r="A365" s="74"/>
      <c r="B365" s="81"/>
      <c r="C365" s="81"/>
      <c r="D365" s="81"/>
      <c r="E365" s="81"/>
      <c r="F365" s="74"/>
      <c r="G365" s="81"/>
      <c r="H365" s="81"/>
      <c r="I365" s="81"/>
      <c r="J365" s="81"/>
      <c r="K365" s="74"/>
      <c r="L365" s="81"/>
      <c r="M365" s="81"/>
      <c r="N365" s="81"/>
      <c r="O365" s="81"/>
      <c r="P365" s="74"/>
    </row>
    <row r="366">
      <c r="A366" s="74"/>
      <c r="B366" s="81"/>
      <c r="C366" s="81"/>
      <c r="D366" s="81"/>
      <c r="E366" s="81"/>
      <c r="F366" s="74"/>
      <c r="G366" s="81"/>
      <c r="H366" s="81"/>
      <c r="I366" s="81"/>
      <c r="J366" s="81"/>
      <c r="K366" s="74"/>
      <c r="L366" s="81"/>
      <c r="M366" s="81"/>
      <c r="N366" s="81"/>
      <c r="O366" s="81"/>
      <c r="P366" s="74"/>
    </row>
    <row r="367">
      <c r="A367" s="74"/>
      <c r="B367" s="81"/>
      <c r="C367" s="81"/>
      <c r="D367" s="81"/>
      <c r="E367" s="81"/>
      <c r="F367" s="74"/>
      <c r="G367" s="81"/>
      <c r="H367" s="81"/>
      <c r="I367" s="81"/>
      <c r="J367" s="81"/>
      <c r="K367" s="74"/>
      <c r="L367" s="81"/>
      <c r="M367" s="81"/>
      <c r="N367" s="81"/>
      <c r="O367" s="81"/>
      <c r="P367" s="74"/>
    </row>
    <row r="368">
      <c r="A368" s="74"/>
      <c r="B368" s="81"/>
      <c r="C368" s="81"/>
      <c r="D368" s="81"/>
      <c r="E368" s="81"/>
      <c r="F368" s="74"/>
      <c r="G368" s="81"/>
      <c r="H368" s="81"/>
      <c r="I368" s="81"/>
      <c r="J368" s="81"/>
      <c r="K368" s="74"/>
      <c r="L368" s="81"/>
      <c r="M368" s="81"/>
      <c r="N368" s="81"/>
      <c r="O368" s="81"/>
      <c r="P368" s="74"/>
    </row>
    <row r="369">
      <c r="A369" s="74"/>
      <c r="B369" s="81"/>
      <c r="C369" s="81"/>
      <c r="D369" s="81"/>
      <c r="E369" s="81"/>
      <c r="F369" s="74"/>
      <c r="G369" s="81"/>
      <c r="H369" s="81"/>
      <c r="I369" s="81"/>
      <c r="J369" s="81"/>
      <c r="K369" s="74"/>
      <c r="L369" s="81"/>
      <c r="M369" s="81"/>
      <c r="N369" s="81"/>
      <c r="O369" s="81"/>
      <c r="P369" s="74"/>
    </row>
    <row r="370">
      <c r="A370" s="74"/>
      <c r="B370" s="81"/>
      <c r="C370" s="81"/>
      <c r="D370" s="81"/>
      <c r="E370" s="81"/>
      <c r="F370" s="74"/>
      <c r="G370" s="81"/>
      <c r="H370" s="81"/>
      <c r="I370" s="81"/>
      <c r="J370" s="81"/>
      <c r="K370" s="74"/>
      <c r="L370" s="81"/>
      <c r="M370" s="81"/>
      <c r="N370" s="81"/>
      <c r="O370" s="81"/>
      <c r="P370" s="74"/>
    </row>
    <row r="371">
      <c r="A371" s="74"/>
      <c r="B371" s="81"/>
      <c r="C371" s="81"/>
      <c r="D371" s="81"/>
      <c r="E371" s="81"/>
      <c r="F371" s="74"/>
      <c r="G371" s="81"/>
      <c r="H371" s="81"/>
      <c r="I371" s="81"/>
      <c r="J371" s="81"/>
      <c r="K371" s="74"/>
      <c r="L371" s="81"/>
      <c r="M371" s="81"/>
      <c r="N371" s="81"/>
      <c r="O371" s="81"/>
      <c r="P371" s="74"/>
    </row>
    <row r="372">
      <c r="A372" s="74"/>
      <c r="B372" s="81"/>
      <c r="C372" s="81"/>
      <c r="D372" s="81"/>
      <c r="E372" s="81"/>
      <c r="F372" s="74"/>
      <c r="G372" s="81"/>
      <c r="H372" s="81"/>
      <c r="I372" s="81"/>
      <c r="J372" s="81"/>
      <c r="K372" s="74"/>
      <c r="L372" s="81"/>
      <c r="M372" s="81"/>
      <c r="N372" s="81"/>
      <c r="O372" s="81"/>
      <c r="P372" s="74"/>
    </row>
    <row r="373">
      <c r="A373" s="74"/>
      <c r="B373" s="81"/>
      <c r="C373" s="81"/>
      <c r="D373" s="81"/>
      <c r="E373" s="81"/>
      <c r="F373" s="74"/>
      <c r="G373" s="81"/>
      <c r="H373" s="81"/>
      <c r="I373" s="81"/>
      <c r="J373" s="81"/>
      <c r="K373" s="74"/>
      <c r="L373" s="81"/>
      <c r="M373" s="81"/>
      <c r="N373" s="81"/>
      <c r="O373" s="81"/>
      <c r="P373" s="74"/>
    </row>
    <row r="374">
      <c r="A374" s="74"/>
      <c r="B374" s="81"/>
      <c r="C374" s="81"/>
      <c r="D374" s="81"/>
      <c r="E374" s="81"/>
      <c r="F374" s="74"/>
      <c r="G374" s="81"/>
      <c r="H374" s="81"/>
      <c r="I374" s="81"/>
      <c r="J374" s="81"/>
      <c r="K374" s="74"/>
      <c r="L374" s="81"/>
      <c r="M374" s="81"/>
      <c r="N374" s="81"/>
      <c r="O374" s="81"/>
      <c r="P374" s="74"/>
    </row>
    <row r="375">
      <c r="A375" s="74"/>
      <c r="B375" s="81"/>
      <c r="C375" s="81"/>
      <c r="D375" s="81"/>
      <c r="E375" s="81"/>
      <c r="F375" s="74"/>
      <c r="G375" s="81"/>
      <c r="H375" s="81"/>
      <c r="I375" s="81"/>
      <c r="J375" s="81"/>
      <c r="K375" s="74"/>
      <c r="L375" s="81"/>
      <c r="M375" s="81"/>
      <c r="N375" s="81"/>
      <c r="O375" s="81"/>
      <c r="P375" s="74"/>
    </row>
    <row r="376">
      <c r="A376" s="74"/>
      <c r="B376" s="81"/>
      <c r="C376" s="81"/>
      <c r="D376" s="81"/>
      <c r="E376" s="81"/>
      <c r="F376" s="74"/>
      <c r="G376" s="81"/>
      <c r="H376" s="81"/>
      <c r="I376" s="81"/>
      <c r="J376" s="81"/>
      <c r="K376" s="74"/>
      <c r="L376" s="81"/>
      <c r="M376" s="81"/>
      <c r="N376" s="81"/>
      <c r="O376" s="81"/>
      <c r="P376" s="74"/>
    </row>
    <row r="377">
      <c r="A377" s="74"/>
      <c r="B377" s="81"/>
      <c r="C377" s="81"/>
      <c r="D377" s="81"/>
      <c r="E377" s="81"/>
      <c r="F377" s="74"/>
      <c r="G377" s="81"/>
      <c r="H377" s="81"/>
      <c r="I377" s="81"/>
      <c r="J377" s="81"/>
      <c r="K377" s="74"/>
      <c r="L377" s="81"/>
      <c r="M377" s="81"/>
      <c r="N377" s="81"/>
      <c r="O377" s="81"/>
      <c r="P377" s="74"/>
    </row>
    <row r="378">
      <c r="A378" s="74"/>
      <c r="B378" s="81"/>
      <c r="C378" s="81"/>
      <c r="D378" s="81"/>
      <c r="E378" s="81"/>
      <c r="F378" s="74"/>
      <c r="G378" s="81"/>
      <c r="H378" s="81"/>
      <c r="I378" s="81"/>
      <c r="J378" s="81"/>
      <c r="K378" s="74"/>
      <c r="L378" s="81"/>
      <c r="M378" s="81"/>
      <c r="N378" s="81"/>
      <c r="O378" s="81"/>
      <c r="P378" s="74"/>
    </row>
    <row r="379">
      <c r="A379" s="74"/>
      <c r="B379" s="81"/>
      <c r="C379" s="81"/>
      <c r="D379" s="81"/>
      <c r="E379" s="81"/>
      <c r="F379" s="74"/>
      <c r="G379" s="81"/>
      <c r="H379" s="81"/>
      <c r="I379" s="81"/>
      <c r="J379" s="81"/>
      <c r="K379" s="74"/>
      <c r="L379" s="81"/>
      <c r="M379" s="81"/>
      <c r="N379" s="81"/>
      <c r="O379" s="81"/>
      <c r="P379" s="74"/>
    </row>
    <row r="380">
      <c r="A380" s="74"/>
      <c r="B380" s="81"/>
      <c r="C380" s="81"/>
      <c r="D380" s="81"/>
      <c r="E380" s="81"/>
      <c r="F380" s="74"/>
      <c r="G380" s="81"/>
      <c r="H380" s="81"/>
      <c r="I380" s="81"/>
      <c r="J380" s="81"/>
      <c r="K380" s="74"/>
      <c r="L380" s="81"/>
      <c r="M380" s="81"/>
      <c r="N380" s="81"/>
      <c r="O380" s="81"/>
      <c r="P380" s="74"/>
    </row>
    <row r="381">
      <c r="A381" s="74"/>
      <c r="B381" s="81"/>
      <c r="C381" s="81"/>
      <c r="D381" s="81"/>
      <c r="E381" s="81"/>
      <c r="F381" s="74"/>
      <c r="G381" s="81"/>
      <c r="H381" s="81"/>
      <c r="I381" s="81"/>
      <c r="J381" s="81"/>
      <c r="K381" s="74"/>
      <c r="L381" s="81"/>
      <c r="M381" s="81"/>
      <c r="N381" s="81"/>
      <c r="O381" s="81"/>
      <c r="P381" s="74"/>
    </row>
    <row r="382">
      <c r="A382" s="74"/>
      <c r="B382" s="81"/>
      <c r="C382" s="81"/>
      <c r="D382" s="81"/>
      <c r="E382" s="81"/>
      <c r="F382" s="74"/>
      <c r="G382" s="81"/>
      <c r="H382" s="81"/>
      <c r="I382" s="81"/>
      <c r="J382" s="81"/>
      <c r="K382" s="74"/>
      <c r="L382" s="81"/>
      <c r="M382" s="81"/>
      <c r="N382" s="81"/>
      <c r="O382" s="81"/>
      <c r="P382" s="74"/>
    </row>
    <row r="383">
      <c r="A383" s="74"/>
      <c r="B383" s="81"/>
      <c r="C383" s="81"/>
      <c r="D383" s="81"/>
      <c r="E383" s="81"/>
      <c r="F383" s="74"/>
      <c r="G383" s="81"/>
      <c r="H383" s="81"/>
      <c r="I383" s="81"/>
      <c r="J383" s="81"/>
      <c r="K383" s="74"/>
      <c r="L383" s="81"/>
      <c r="M383" s="81"/>
      <c r="N383" s="81"/>
      <c r="O383" s="81"/>
      <c r="P383" s="74"/>
    </row>
    <row r="384">
      <c r="A384" s="74"/>
      <c r="B384" s="81"/>
      <c r="C384" s="81"/>
      <c r="D384" s="81"/>
      <c r="E384" s="81"/>
      <c r="F384" s="74"/>
      <c r="G384" s="81"/>
      <c r="H384" s="81"/>
      <c r="I384" s="81"/>
      <c r="J384" s="81"/>
      <c r="K384" s="74"/>
      <c r="L384" s="81"/>
      <c r="M384" s="81"/>
      <c r="N384" s="81"/>
      <c r="O384" s="81"/>
      <c r="P384" s="74"/>
    </row>
    <row r="385">
      <c r="A385" s="74"/>
      <c r="B385" s="81"/>
      <c r="C385" s="81"/>
      <c r="D385" s="81"/>
      <c r="E385" s="81"/>
      <c r="F385" s="74"/>
      <c r="G385" s="81"/>
      <c r="H385" s="81"/>
      <c r="I385" s="81"/>
      <c r="J385" s="81"/>
      <c r="K385" s="74"/>
      <c r="L385" s="81"/>
      <c r="M385" s="81"/>
      <c r="N385" s="81"/>
      <c r="O385" s="81"/>
      <c r="P385" s="74"/>
    </row>
    <row r="386">
      <c r="A386" s="74"/>
      <c r="B386" s="81"/>
      <c r="C386" s="81"/>
      <c r="D386" s="81"/>
      <c r="E386" s="81"/>
      <c r="F386" s="74"/>
      <c r="G386" s="81"/>
      <c r="H386" s="81"/>
      <c r="I386" s="81"/>
      <c r="J386" s="81"/>
      <c r="K386" s="74"/>
      <c r="L386" s="81"/>
      <c r="M386" s="81"/>
      <c r="N386" s="81"/>
      <c r="O386" s="81"/>
      <c r="P386" s="74"/>
    </row>
    <row r="387">
      <c r="A387" s="74"/>
      <c r="B387" s="81"/>
      <c r="C387" s="81"/>
      <c r="D387" s="81"/>
      <c r="E387" s="81"/>
      <c r="F387" s="74"/>
      <c r="G387" s="81"/>
      <c r="H387" s="81"/>
      <c r="I387" s="81"/>
      <c r="J387" s="81"/>
      <c r="K387" s="74"/>
      <c r="L387" s="81"/>
      <c r="M387" s="81"/>
      <c r="N387" s="81"/>
      <c r="O387" s="81"/>
      <c r="P387" s="74"/>
    </row>
    <row r="388">
      <c r="A388" s="74"/>
      <c r="B388" s="81"/>
      <c r="C388" s="81"/>
      <c r="D388" s="81"/>
      <c r="E388" s="81"/>
      <c r="F388" s="74"/>
      <c r="G388" s="81"/>
      <c r="H388" s="81"/>
      <c r="I388" s="81"/>
      <c r="J388" s="81"/>
      <c r="K388" s="74"/>
      <c r="L388" s="81"/>
      <c r="M388" s="81"/>
      <c r="N388" s="81"/>
      <c r="O388" s="81"/>
      <c r="P388" s="74"/>
    </row>
    <row r="389">
      <c r="A389" s="74"/>
      <c r="B389" s="81"/>
      <c r="C389" s="81"/>
      <c r="D389" s="81"/>
      <c r="E389" s="81"/>
      <c r="F389" s="74"/>
      <c r="G389" s="81"/>
      <c r="H389" s="81"/>
      <c r="I389" s="81"/>
      <c r="J389" s="81"/>
      <c r="K389" s="74"/>
      <c r="L389" s="81"/>
      <c r="M389" s="81"/>
      <c r="N389" s="81"/>
      <c r="O389" s="81"/>
      <c r="P389" s="74"/>
    </row>
    <row r="390">
      <c r="A390" s="74"/>
      <c r="B390" s="81"/>
      <c r="C390" s="81"/>
      <c r="D390" s="81"/>
      <c r="E390" s="81"/>
      <c r="F390" s="74"/>
      <c r="G390" s="81"/>
      <c r="H390" s="81"/>
      <c r="I390" s="81"/>
      <c r="J390" s="81"/>
      <c r="K390" s="74"/>
      <c r="L390" s="81"/>
      <c r="M390" s="81"/>
      <c r="N390" s="81"/>
      <c r="O390" s="81"/>
      <c r="P390" s="74"/>
    </row>
    <row r="391">
      <c r="A391" s="74"/>
      <c r="B391" s="81"/>
      <c r="C391" s="81"/>
      <c r="D391" s="81"/>
      <c r="E391" s="81"/>
      <c r="F391" s="74"/>
      <c r="G391" s="81"/>
      <c r="H391" s="81"/>
      <c r="I391" s="81"/>
      <c r="J391" s="81"/>
      <c r="K391" s="74"/>
      <c r="L391" s="81"/>
      <c r="M391" s="81"/>
      <c r="N391" s="81"/>
      <c r="O391" s="81"/>
      <c r="P391" s="74"/>
    </row>
    <row r="392">
      <c r="A392" s="74"/>
      <c r="B392" s="81"/>
      <c r="C392" s="81"/>
      <c r="D392" s="81"/>
      <c r="E392" s="81"/>
      <c r="F392" s="74"/>
      <c r="G392" s="81"/>
      <c r="H392" s="81"/>
      <c r="I392" s="81"/>
      <c r="J392" s="81"/>
      <c r="K392" s="74"/>
      <c r="L392" s="81"/>
      <c r="M392" s="81"/>
      <c r="N392" s="81"/>
      <c r="O392" s="81"/>
      <c r="P392" s="74"/>
    </row>
    <row r="393">
      <c r="A393" s="74"/>
      <c r="B393" s="81"/>
      <c r="C393" s="81"/>
      <c r="D393" s="81"/>
      <c r="E393" s="81"/>
      <c r="F393" s="74"/>
      <c r="G393" s="81"/>
      <c r="H393" s="81"/>
      <c r="I393" s="81"/>
      <c r="J393" s="81"/>
      <c r="K393" s="74"/>
      <c r="L393" s="81"/>
      <c r="M393" s="81"/>
      <c r="N393" s="81"/>
      <c r="O393" s="81"/>
      <c r="P393" s="74"/>
    </row>
    <row r="394">
      <c r="A394" s="74"/>
      <c r="B394" s="81"/>
      <c r="C394" s="81"/>
      <c r="D394" s="81"/>
      <c r="E394" s="81"/>
      <c r="F394" s="74"/>
      <c r="G394" s="81"/>
      <c r="H394" s="81"/>
      <c r="I394" s="81"/>
      <c r="J394" s="81"/>
      <c r="K394" s="74"/>
      <c r="L394" s="81"/>
      <c r="M394" s="81"/>
      <c r="N394" s="81"/>
      <c r="O394" s="81"/>
      <c r="P394" s="74"/>
    </row>
    <row r="395">
      <c r="A395" s="74"/>
      <c r="B395" s="81"/>
      <c r="C395" s="81"/>
      <c r="D395" s="81"/>
      <c r="E395" s="81"/>
      <c r="F395" s="74"/>
      <c r="G395" s="81"/>
      <c r="H395" s="81"/>
      <c r="I395" s="81"/>
      <c r="J395" s="81"/>
      <c r="K395" s="74"/>
      <c r="L395" s="81"/>
      <c r="M395" s="81"/>
      <c r="N395" s="81"/>
      <c r="O395" s="81"/>
      <c r="P395" s="74"/>
    </row>
    <row r="396">
      <c r="A396" s="74"/>
      <c r="B396" s="81"/>
      <c r="C396" s="81"/>
      <c r="D396" s="81"/>
      <c r="E396" s="81"/>
      <c r="F396" s="74"/>
      <c r="G396" s="81"/>
      <c r="H396" s="81"/>
      <c r="I396" s="81"/>
      <c r="J396" s="81"/>
      <c r="K396" s="74"/>
      <c r="L396" s="81"/>
      <c r="M396" s="81"/>
      <c r="N396" s="81"/>
      <c r="O396" s="81"/>
      <c r="P396" s="74"/>
    </row>
    <row r="397">
      <c r="A397" s="74"/>
      <c r="B397" s="81"/>
      <c r="C397" s="81"/>
      <c r="D397" s="81"/>
      <c r="E397" s="81"/>
      <c r="F397" s="74"/>
      <c r="G397" s="81"/>
      <c r="H397" s="81"/>
      <c r="I397" s="81"/>
      <c r="J397" s="81"/>
      <c r="K397" s="74"/>
      <c r="L397" s="81"/>
      <c r="M397" s="81"/>
      <c r="N397" s="81"/>
      <c r="O397" s="81"/>
      <c r="P397" s="74"/>
    </row>
    <row r="398">
      <c r="A398" s="74"/>
      <c r="B398" s="81"/>
      <c r="C398" s="81"/>
      <c r="D398" s="81"/>
      <c r="E398" s="81"/>
      <c r="F398" s="74"/>
      <c r="G398" s="81"/>
      <c r="H398" s="81"/>
      <c r="I398" s="81"/>
      <c r="J398" s="81"/>
      <c r="K398" s="74"/>
      <c r="L398" s="81"/>
      <c r="M398" s="81"/>
      <c r="N398" s="81"/>
      <c r="O398" s="81"/>
      <c r="P398" s="74"/>
    </row>
    <row r="399">
      <c r="A399" s="74"/>
      <c r="B399" s="81"/>
      <c r="C399" s="81"/>
      <c r="D399" s="81"/>
      <c r="E399" s="81"/>
      <c r="F399" s="74"/>
      <c r="G399" s="81"/>
      <c r="H399" s="81"/>
      <c r="I399" s="81"/>
      <c r="J399" s="81"/>
      <c r="K399" s="74"/>
      <c r="L399" s="81"/>
      <c r="M399" s="81"/>
      <c r="N399" s="81"/>
      <c r="O399" s="81"/>
      <c r="P399" s="74"/>
    </row>
    <row r="400">
      <c r="A400" s="74"/>
      <c r="B400" s="81"/>
      <c r="C400" s="81"/>
      <c r="D400" s="81"/>
      <c r="E400" s="81"/>
      <c r="F400" s="74"/>
      <c r="G400" s="81"/>
      <c r="H400" s="81"/>
      <c r="I400" s="81"/>
      <c r="J400" s="81"/>
      <c r="K400" s="74"/>
      <c r="L400" s="81"/>
      <c r="M400" s="81"/>
      <c r="N400" s="81"/>
      <c r="O400" s="81"/>
      <c r="P400" s="74"/>
    </row>
    <row r="401">
      <c r="A401" s="74"/>
      <c r="B401" s="81"/>
      <c r="C401" s="81"/>
      <c r="D401" s="81"/>
      <c r="E401" s="81"/>
      <c r="F401" s="74"/>
      <c r="G401" s="81"/>
      <c r="H401" s="81"/>
      <c r="I401" s="81"/>
      <c r="J401" s="81"/>
      <c r="K401" s="74"/>
      <c r="L401" s="81"/>
      <c r="M401" s="81"/>
      <c r="N401" s="81"/>
      <c r="O401" s="81"/>
      <c r="P401" s="74"/>
    </row>
    <row r="402">
      <c r="A402" s="74"/>
      <c r="B402" s="81"/>
      <c r="C402" s="81"/>
      <c r="D402" s="81"/>
      <c r="E402" s="81"/>
      <c r="F402" s="74"/>
      <c r="G402" s="81"/>
      <c r="H402" s="81"/>
      <c r="I402" s="81"/>
      <c r="J402" s="81"/>
      <c r="K402" s="74"/>
      <c r="L402" s="81"/>
      <c r="M402" s="81"/>
      <c r="N402" s="81"/>
      <c r="O402" s="81"/>
      <c r="P402" s="74"/>
    </row>
    <row r="403">
      <c r="A403" s="74"/>
      <c r="B403" s="81"/>
      <c r="C403" s="81"/>
      <c r="D403" s="81"/>
      <c r="E403" s="81"/>
      <c r="F403" s="74"/>
      <c r="G403" s="81"/>
      <c r="H403" s="81"/>
      <c r="I403" s="81"/>
      <c r="J403" s="81"/>
      <c r="K403" s="74"/>
      <c r="L403" s="81"/>
      <c r="M403" s="81"/>
      <c r="N403" s="81"/>
      <c r="O403" s="81"/>
      <c r="P403" s="74"/>
    </row>
    <row r="404">
      <c r="A404" s="74"/>
      <c r="B404" s="81"/>
      <c r="C404" s="81"/>
      <c r="D404" s="81"/>
      <c r="E404" s="81"/>
      <c r="F404" s="74"/>
      <c r="G404" s="81"/>
      <c r="H404" s="81"/>
      <c r="I404" s="81"/>
      <c r="J404" s="81"/>
      <c r="K404" s="74"/>
      <c r="L404" s="81"/>
      <c r="M404" s="81"/>
      <c r="N404" s="81"/>
      <c r="O404" s="81"/>
      <c r="P404" s="74"/>
    </row>
    <row r="405">
      <c r="A405" s="74"/>
      <c r="B405" s="81"/>
      <c r="C405" s="81"/>
      <c r="D405" s="81"/>
      <c r="E405" s="81"/>
      <c r="F405" s="74"/>
      <c r="G405" s="81"/>
      <c r="H405" s="81"/>
      <c r="I405" s="81"/>
      <c r="J405" s="81"/>
      <c r="K405" s="74"/>
      <c r="L405" s="81"/>
      <c r="M405" s="81"/>
      <c r="N405" s="81"/>
      <c r="O405" s="81"/>
      <c r="P405" s="74"/>
    </row>
    <row r="406">
      <c r="A406" s="74"/>
      <c r="B406" s="81"/>
      <c r="C406" s="81"/>
      <c r="D406" s="81"/>
      <c r="E406" s="81"/>
      <c r="F406" s="74"/>
      <c r="G406" s="81"/>
      <c r="H406" s="81"/>
      <c r="I406" s="81"/>
      <c r="J406" s="81"/>
      <c r="K406" s="74"/>
      <c r="L406" s="81"/>
      <c r="M406" s="81"/>
      <c r="N406" s="81"/>
      <c r="O406" s="81"/>
      <c r="P406" s="74"/>
    </row>
    <row r="407">
      <c r="A407" s="74"/>
      <c r="B407" s="81"/>
      <c r="C407" s="81"/>
      <c r="D407" s="81"/>
      <c r="E407" s="81"/>
      <c r="F407" s="74"/>
      <c r="G407" s="81"/>
      <c r="H407" s="81"/>
      <c r="I407" s="81"/>
      <c r="J407" s="81"/>
      <c r="K407" s="74"/>
      <c r="L407" s="81"/>
      <c r="M407" s="81"/>
      <c r="N407" s="81"/>
      <c r="O407" s="81"/>
      <c r="P407" s="74"/>
    </row>
    <row r="408">
      <c r="A408" s="74"/>
      <c r="B408" s="81"/>
      <c r="C408" s="81"/>
      <c r="D408" s="81"/>
      <c r="E408" s="81"/>
      <c r="F408" s="74"/>
      <c r="G408" s="81"/>
      <c r="H408" s="81"/>
      <c r="I408" s="81"/>
      <c r="J408" s="81"/>
      <c r="K408" s="74"/>
      <c r="L408" s="81"/>
      <c r="M408" s="81"/>
      <c r="N408" s="81"/>
      <c r="O408" s="81"/>
      <c r="P408" s="74"/>
    </row>
    <row r="409">
      <c r="A409" s="74"/>
      <c r="B409" s="81"/>
      <c r="C409" s="81"/>
      <c r="D409" s="81"/>
      <c r="E409" s="81"/>
      <c r="F409" s="74"/>
      <c r="G409" s="81"/>
      <c r="H409" s="81"/>
      <c r="I409" s="81"/>
      <c r="J409" s="81"/>
      <c r="K409" s="74"/>
      <c r="L409" s="81"/>
      <c r="M409" s="81"/>
      <c r="N409" s="81"/>
      <c r="O409" s="81"/>
      <c r="P409" s="74"/>
    </row>
    <row r="410">
      <c r="A410" s="74"/>
      <c r="B410" s="81"/>
      <c r="C410" s="81"/>
      <c r="D410" s="81"/>
      <c r="E410" s="81"/>
      <c r="F410" s="74"/>
      <c r="G410" s="81"/>
      <c r="H410" s="81"/>
      <c r="I410" s="81"/>
      <c r="J410" s="81"/>
      <c r="K410" s="74"/>
      <c r="L410" s="81"/>
      <c r="M410" s="81"/>
      <c r="N410" s="81"/>
      <c r="O410" s="81"/>
      <c r="P410" s="74"/>
    </row>
    <row r="411">
      <c r="A411" s="74"/>
      <c r="B411" s="81"/>
      <c r="C411" s="81"/>
      <c r="D411" s="81"/>
      <c r="E411" s="81"/>
      <c r="F411" s="74"/>
      <c r="G411" s="81"/>
      <c r="H411" s="81"/>
      <c r="I411" s="81"/>
      <c r="J411" s="81"/>
      <c r="K411" s="74"/>
      <c r="L411" s="81"/>
      <c r="M411" s="81"/>
      <c r="N411" s="81"/>
      <c r="O411" s="81"/>
      <c r="P411" s="74"/>
    </row>
    <row r="412">
      <c r="A412" s="74"/>
      <c r="B412" s="81"/>
      <c r="C412" s="81"/>
      <c r="D412" s="81"/>
      <c r="E412" s="81"/>
      <c r="F412" s="74"/>
      <c r="G412" s="81"/>
      <c r="H412" s="81"/>
      <c r="I412" s="81"/>
      <c r="J412" s="81"/>
      <c r="K412" s="74"/>
      <c r="L412" s="81"/>
      <c r="M412" s="81"/>
      <c r="N412" s="81"/>
      <c r="O412" s="81"/>
      <c r="P412" s="74"/>
    </row>
    <row r="413">
      <c r="A413" s="74"/>
      <c r="B413" s="81"/>
      <c r="C413" s="81"/>
      <c r="D413" s="81"/>
      <c r="E413" s="81"/>
      <c r="F413" s="74"/>
      <c r="G413" s="81"/>
      <c r="H413" s="81"/>
      <c r="I413" s="81"/>
      <c r="J413" s="81"/>
      <c r="K413" s="74"/>
      <c r="L413" s="81"/>
      <c r="M413" s="81"/>
      <c r="N413" s="81"/>
      <c r="O413" s="81"/>
      <c r="P413" s="74"/>
    </row>
    <row r="414">
      <c r="A414" s="74"/>
      <c r="B414" s="81"/>
      <c r="C414" s="81"/>
      <c r="D414" s="81"/>
      <c r="E414" s="81"/>
      <c r="F414" s="74"/>
      <c r="G414" s="81"/>
      <c r="H414" s="81"/>
      <c r="I414" s="81"/>
      <c r="J414" s="81"/>
      <c r="K414" s="74"/>
      <c r="L414" s="81"/>
      <c r="M414" s="81"/>
      <c r="N414" s="81"/>
      <c r="O414" s="81"/>
      <c r="P414" s="74"/>
    </row>
    <row r="415">
      <c r="A415" s="74"/>
      <c r="B415" s="81"/>
      <c r="C415" s="81"/>
      <c r="D415" s="81"/>
      <c r="E415" s="81"/>
      <c r="F415" s="74"/>
      <c r="G415" s="81"/>
      <c r="H415" s="81"/>
      <c r="I415" s="81"/>
      <c r="J415" s="81"/>
      <c r="K415" s="74"/>
      <c r="L415" s="81"/>
      <c r="M415" s="81"/>
      <c r="N415" s="81"/>
      <c r="O415" s="81"/>
      <c r="P415" s="74"/>
    </row>
    <row r="416">
      <c r="A416" s="74"/>
      <c r="B416" s="81"/>
      <c r="C416" s="81"/>
      <c r="D416" s="81"/>
      <c r="E416" s="81"/>
      <c r="F416" s="74"/>
      <c r="G416" s="81"/>
      <c r="H416" s="81"/>
      <c r="I416" s="81"/>
      <c r="J416" s="81"/>
      <c r="K416" s="74"/>
      <c r="L416" s="81"/>
      <c r="M416" s="81"/>
      <c r="N416" s="81"/>
      <c r="O416" s="81"/>
      <c r="P416" s="74"/>
    </row>
    <row r="417">
      <c r="A417" s="74"/>
      <c r="B417" s="81"/>
      <c r="C417" s="81"/>
      <c r="D417" s="81"/>
      <c r="E417" s="81"/>
      <c r="F417" s="74"/>
      <c r="G417" s="81"/>
      <c r="H417" s="81"/>
      <c r="I417" s="81"/>
      <c r="J417" s="81"/>
      <c r="K417" s="74"/>
      <c r="L417" s="81"/>
      <c r="M417" s="81"/>
      <c r="N417" s="81"/>
      <c r="O417" s="81"/>
      <c r="P417" s="74"/>
    </row>
    <row r="418">
      <c r="A418" s="74"/>
      <c r="B418" s="81"/>
      <c r="C418" s="81"/>
      <c r="D418" s="81"/>
      <c r="E418" s="81"/>
      <c r="F418" s="74"/>
      <c r="G418" s="81"/>
      <c r="H418" s="81"/>
      <c r="I418" s="81"/>
      <c r="J418" s="81"/>
      <c r="K418" s="74"/>
      <c r="L418" s="81"/>
      <c r="M418" s="81"/>
      <c r="N418" s="81"/>
      <c r="O418" s="81"/>
      <c r="P418" s="74"/>
    </row>
    <row r="419">
      <c r="A419" s="74"/>
      <c r="B419" s="81"/>
      <c r="C419" s="81"/>
      <c r="D419" s="81"/>
      <c r="E419" s="81"/>
      <c r="F419" s="74"/>
      <c r="G419" s="81"/>
      <c r="H419" s="81"/>
      <c r="I419" s="81"/>
      <c r="J419" s="81"/>
      <c r="K419" s="74"/>
      <c r="L419" s="81"/>
      <c r="M419" s="81"/>
      <c r="N419" s="81"/>
      <c r="O419" s="81"/>
      <c r="P419" s="74"/>
    </row>
    <row r="420">
      <c r="A420" s="74"/>
      <c r="B420" s="81"/>
      <c r="C420" s="81"/>
      <c r="D420" s="81"/>
      <c r="E420" s="81"/>
      <c r="F420" s="74"/>
      <c r="G420" s="81"/>
      <c r="H420" s="81"/>
      <c r="I420" s="81"/>
      <c r="J420" s="81"/>
      <c r="K420" s="74"/>
      <c r="L420" s="81"/>
      <c r="M420" s="81"/>
      <c r="N420" s="81"/>
      <c r="O420" s="81"/>
      <c r="P420" s="74"/>
    </row>
    <row r="421">
      <c r="A421" s="74"/>
      <c r="B421" s="81"/>
      <c r="C421" s="81"/>
      <c r="D421" s="81"/>
      <c r="E421" s="81"/>
      <c r="F421" s="74"/>
      <c r="G421" s="81"/>
      <c r="H421" s="81"/>
      <c r="I421" s="81"/>
      <c r="J421" s="81"/>
      <c r="K421" s="74"/>
      <c r="L421" s="81"/>
      <c r="M421" s="81"/>
      <c r="N421" s="81"/>
      <c r="O421" s="81"/>
      <c r="P421" s="74"/>
    </row>
    <row r="422">
      <c r="A422" s="74"/>
      <c r="B422" s="81"/>
      <c r="C422" s="81"/>
      <c r="D422" s="81"/>
      <c r="E422" s="81"/>
      <c r="F422" s="74"/>
      <c r="G422" s="81"/>
      <c r="H422" s="81"/>
      <c r="I422" s="81"/>
      <c r="J422" s="81"/>
      <c r="K422" s="74"/>
      <c r="L422" s="81"/>
      <c r="M422" s="81"/>
      <c r="N422" s="81"/>
      <c r="O422" s="81"/>
      <c r="P422" s="74"/>
    </row>
    <row r="423">
      <c r="A423" s="74"/>
      <c r="B423" s="81"/>
      <c r="C423" s="81"/>
      <c r="D423" s="81"/>
      <c r="E423" s="81"/>
      <c r="F423" s="74"/>
      <c r="G423" s="81"/>
      <c r="H423" s="81"/>
      <c r="I423" s="81"/>
      <c r="J423" s="81"/>
      <c r="K423" s="74"/>
      <c r="L423" s="81"/>
      <c r="M423" s="81"/>
      <c r="N423" s="81"/>
      <c r="O423" s="81"/>
      <c r="P423" s="74"/>
    </row>
    <row r="424">
      <c r="A424" s="74"/>
      <c r="B424" s="81"/>
      <c r="C424" s="81"/>
      <c r="D424" s="81"/>
      <c r="E424" s="81"/>
      <c r="F424" s="74"/>
      <c r="G424" s="81"/>
      <c r="H424" s="81"/>
      <c r="I424" s="81"/>
      <c r="J424" s="81"/>
      <c r="K424" s="74"/>
      <c r="L424" s="81"/>
      <c r="M424" s="81"/>
      <c r="N424" s="81"/>
      <c r="O424" s="81"/>
      <c r="P424" s="74"/>
    </row>
    <row r="425">
      <c r="A425" s="74"/>
      <c r="B425" s="81"/>
      <c r="C425" s="81"/>
      <c r="D425" s="81"/>
      <c r="E425" s="81"/>
      <c r="F425" s="74"/>
      <c r="G425" s="81"/>
      <c r="H425" s="81"/>
      <c r="I425" s="81"/>
      <c r="J425" s="81"/>
      <c r="K425" s="74"/>
      <c r="L425" s="81"/>
      <c r="M425" s="81"/>
      <c r="N425" s="81"/>
      <c r="O425" s="81"/>
      <c r="P425" s="74"/>
    </row>
    <row r="426">
      <c r="A426" s="74"/>
      <c r="B426" s="81"/>
      <c r="C426" s="81"/>
      <c r="D426" s="81"/>
      <c r="E426" s="81"/>
      <c r="F426" s="74"/>
      <c r="G426" s="81"/>
      <c r="H426" s="81"/>
      <c r="I426" s="81"/>
      <c r="J426" s="81"/>
      <c r="K426" s="74"/>
      <c r="L426" s="81"/>
      <c r="M426" s="81"/>
      <c r="N426" s="81"/>
      <c r="O426" s="81"/>
      <c r="P426" s="74"/>
    </row>
    <row r="427">
      <c r="A427" s="74"/>
      <c r="B427" s="81"/>
      <c r="C427" s="81"/>
      <c r="D427" s="81"/>
      <c r="E427" s="81"/>
      <c r="F427" s="74"/>
      <c r="G427" s="81"/>
      <c r="H427" s="81"/>
      <c r="I427" s="81"/>
      <c r="J427" s="81"/>
      <c r="K427" s="74"/>
      <c r="L427" s="81"/>
      <c r="M427" s="81"/>
      <c r="N427" s="81"/>
      <c r="O427" s="81"/>
      <c r="P427" s="74"/>
    </row>
    <row r="428">
      <c r="A428" s="74"/>
      <c r="B428" s="81"/>
      <c r="C428" s="81"/>
      <c r="D428" s="81"/>
      <c r="E428" s="81"/>
      <c r="F428" s="74"/>
      <c r="G428" s="81"/>
      <c r="H428" s="81"/>
      <c r="I428" s="81"/>
      <c r="J428" s="81"/>
      <c r="K428" s="74"/>
      <c r="L428" s="81"/>
      <c r="M428" s="81"/>
      <c r="N428" s="81"/>
      <c r="O428" s="81"/>
      <c r="P428" s="74"/>
    </row>
    <row r="429">
      <c r="A429" s="74"/>
      <c r="B429" s="81"/>
      <c r="C429" s="81"/>
      <c r="D429" s="81"/>
      <c r="E429" s="81"/>
      <c r="F429" s="74"/>
      <c r="G429" s="81"/>
      <c r="H429" s="81"/>
      <c r="I429" s="81"/>
      <c r="J429" s="81"/>
      <c r="K429" s="74"/>
      <c r="L429" s="81"/>
      <c r="M429" s="81"/>
      <c r="N429" s="81"/>
      <c r="O429" s="81"/>
      <c r="P429" s="74"/>
    </row>
    <row r="430">
      <c r="A430" s="74"/>
      <c r="B430" s="81"/>
      <c r="C430" s="81"/>
      <c r="D430" s="81"/>
      <c r="E430" s="81"/>
      <c r="F430" s="74"/>
      <c r="G430" s="81"/>
      <c r="H430" s="81"/>
      <c r="I430" s="81"/>
      <c r="J430" s="81"/>
      <c r="K430" s="74"/>
      <c r="L430" s="81"/>
      <c r="M430" s="81"/>
      <c r="N430" s="81"/>
      <c r="O430" s="81"/>
      <c r="P430" s="74"/>
    </row>
    <row r="431">
      <c r="A431" s="74"/>
      <c r="B431" s="81"/>
      <c r="C431" s="81"/>
      <c r="D431" s="81"/>
      <c r="E431" s="81"/>
      <c r="F431" s="74"/>
      <c r="G431" s="81"/>
      <c r="H431" s="81"/>
      <c r="I431" s="81"/>
      <c r="J431" s="81"/>
      <c r="K431" s="74"/>
      <c r="L431" s="81"/>
      <c r="M431" s="81"/>
      <c r="N431" s="81"/>
      <c r="O431" s="81"/>
      <c r="P431" s="74"/>
    </row>
    <row r="432">
      <c r="A432" s="74"/>
      <c r="B432" s="81"/>
      <c r="C432" s="81"/>
      <c r="D432" s="81"/>
      <c r="E432" s="81"/>
      <c r="F432" s="74"/>
      <c r="G432" s="81"/>
      <c r="H432" s="81"/>
      <c r="I432" s="81"/>
      <c r="J432" s="81"/>
      <c r="K432" s="74"/>
      <c r="L432" s="81"/>
      <c r="M432" s="81"/>
      <c r="N432" s="81"/>
      <c r="O432" s="81"/>
      <c r="P432" s="74"/>
    </row>
    <row r="433">
      <c r="A433" s="74"/>
      <c r="B433" s="81"/>
      <c r="C433" s="81"/>
      <c r="D433" s="81"/>
      <c r="E433" s="81"/>
      <c r="F433" s="74"/>
      <c r="G433" s="81"/>
      <c r="H433" s="81"/>
      <c r="I433" s="81"/>
      <c r="J433" s="81"/>
      <c r="K433" s="74"/>
      <c r="L433" s="81"/>
      <c r="M433" s="81"/>
      <c r="N433" s="81"/>
      <c r="O433" s="81"/>
      <c r="P433" s="74"/>
    </row>
    <row r="434">
      <c r="A434" s="74"/>
      <c r="B434" s="81"/>
      <c r="C434" s="81"/>
      <c r="D434" s="81"/>
      <c r="E434" s="81"/>
      <c r="F434" s="74"/>
      <c r="G434" s="81"/>
      <c r="H434" s="81"/>
      <c r="I434" s="81"/>
      <c r="J434" s="81"/>
      <c r="K434" s="74"/>
      <c r="L434" s="81"/>
      <c r="M434" s="81"/>
      <c r="N434" s="81"/>
      <c r="O434" s="81"/>
      <c r="P434" s="74"/>
    </row>
    <row r="435">
      <c r="A435" s="74"/>
      <c r="B435" s="81"/>
      <c r="C435" s="81"/>
      <c r="D435" s="81"/>
      <c r="E435" s="81"/>
      <c r="F435" s="74"/>
      <c r="G435" s="81"/>
      <c r="H435" s="81"/>
      <c r="I435" s="81"/>
      <c r="J435" s="81"/>
      <c r="K435" s="74"/>
      <c r="L435" s="81"/>
      <c r="M435" s="81"/>
      <c r="N435" s="81"/>
      <c r="O435" s="81"/>
      <c r="P435" s="74"/>
    </row>
    <row r="436">
      <c r="A436" s="74"/>
      <c r="B436" s="81"/>
      <c r="C436" s="81"/>
      <c r="D436" s="81"/>
      <c r="E436" s="81"/>
      <c r="F436" s="74"/>
      <c r="G436" s="81"/>
      <c r="H436" s="81"/>
      <c r="I436" s="81"/>
      <c r="J436" s="81"/>
      <c r="K436" s="74"/>
      <c r="L436" s="81"/>
      <c r="M436" s="81"/>
      <c r="N436" s="81"/>
      <c r="O436" s="81"/>
      <c r="P436" s="74"/>
    </row>
    <row r="437">
      <c r="A437" s="74"/>
      <c r="B437" s="81"/>
      <c r="C437" s="81"/>
      <c r="D437" s="81"/>
      <c r="E437" s="81"/>
      <c r="F437" s="74"/>
      <c r="G437" s="81"/>
      <c r="H437" s="81"/>
      <c r="I437" s="81"/>
      <c r="J437" s="81"/>
      <c r="K437" s="74"/>
      <c r="L437" s="81"/>
      <c r="M437" s="81"/>
      <c r="N437" s="81"/>
      <c r="O437" s="81"/>
      <c r="P437" s="74"/>
    </row>
    <row r="438">
      <c r="A438" s="74"/>
      <c r="B438" s="81"/>
      <c r="C438" s="81"/>
      <c r="D438" s="81"/>
      <c r="E438" s="81"/>
      <c r="F438" s="74"/>
      <c r="G438" s="81"/>
      <c r="H438" s="81"/>
      <c r="I438" s="81"/>
      <c r="J438" s="81"/>
      <c r="K438" s="74"/>
      <c r="L438" s="81"/>
      <c r="M438" s="81"/>
      <c r="N438" s="81"/>
      <c r="O438" s="81"/>
      <c r="P438" s="74"/>
    </row>
    <row r="439">
      <c r="A439" s="74"/>
      <c r="B439" s="81"/>
      <c r="C439" s="81"/>
      <c r="D439" s="81"/>
      <c r="E439" s="81"/>
      <c r="F439" s="74"/>
      <c r="G439" s="81"/>
      <c r="H439" s="81"/>
      <c r="I439" s="81"/>
      <c r="J439" s="81"/>
      <c r="K439" s="74"/>
      <c r="L439" s="81"/>
      <c r="M439" s="81"/>
      <c r="N439" s="81"/>
      <c r="O439" s="81"/>
      <c r="P439" s="74"/>
    </row>
    <row r="440">
      <c r="A440" s="74"/>
      <c r="B440" s="81"/>
      <c r="C440" s="81"/>
      <c r="D440" s="81"/>
      <c r="E440" s="81"/>
      <c r="F440" s="74"/>
      <c r="G440" s="81"/>
      <c r="H440" s="81"/>
      <c r="I440" s="81"/>
      <c r="J440" s="81"/>
      <c r="K440" s="74"/>
      <c r="L440" s="81"/>
      <c r="M440" s="81"/>
      <c r="N440" s="81"/>
      <c r="O440" s="81"/>
      <c r="P440" s="74"/>
    </row>
    <row r="441">
      <c r="A441" s="74"/>
      <c r="B441" s="81"/>
      <c r="C441" s="81"/>
      <c r="D441" s="81"/>
      <c r="E441" s="81"/>
      <c r="F441" s="74"/>
      <c r="G441" s="81"/>
      <c r="H441" s="81"/>
      <c r="I441" s="81"/>
      <c r="J441" s="81"/>
      <c r="K441" s="74"/>
      <c r="L441" s="81"/>
      <c r="M441" s="81"/>
      <c r="N441" s="81"/>
      <c r="O441" s="81"/>
      <c r="P441" s="74"/>
    </row>
    <row r="442">
      <c r="A442" s="74"/>
      <c r="B442" s="81"/>
      <c r="C442" s="81"/>
      <c r="D442" s="81"/>
      <c r="E442" s="81"/>
      <c r="F442" s="74"/>
      <c r="G442" s="81"/>
      <c r="H442" s="81"/>
      <c r="I442" s="81"/>
      <c r="J442" s="81"/>
      <c r="K442" s="74"/>
      <c r="L442" s="81"/>
      <c r="M442" s="81"/>
      <c r="N442" s="81"/>
      <c r="O442" s="81"/>
      <c r="P442" s="74"/>
    </row>
    <row r="443">
      <c r="A443" s="74"/>
      <c r="B443" s="81"/>
      <c r="C443" s="81"/>
      <c r="D443" s="81"/>
      <c r="E443" s="81"/>
      <c r="F443" s="74"/>
      <c r="G443" s="81"/>
      <c r="H443" s="81"/>
      <c r="I443" s="81"/>
      <c r="J443" s="81"/>
      <c r="K443" s="74"/>
      <c r="L443" s="81"/>
      <c r="M443" s="81"/>
      <c r="N443" s="81"/>
      <c r="O443" s="81"/>
      <c r="P443" s="74"/>
    </row>
    <row r="444">
      <c r="A444" s="74"/>
      <c r="B444" s="81"/>
      <c r="C444" s="81"/>
      <c r="D444" s="81"/>
      <c r="E444" s="81"/>
      <c r="F444" s="74"/>
      <c r="G444" s="81"/>
      <c r="H444" s="81"/>
      <c r="I444" s="81"/>
      <c r="J444" s="81"/>
      <c r="K444" s="74"/>
      <c r="L444" s="81"/>
      <c r="M444" s="81"/>
      <c r="N444" s="81"/>
      <c r="O444" s="81"/>
      <c r="P444" s="74"/>
    </row>
    <row r="445">
      <c r="A445" s="74"/>
      <c r="B445" s="81"/>
      <c r="C445" s="81"/>
      <c r="D445" s="81"/>
      <c r="E445" s="81"/>
      <c r="F445" s="74"/>
      <c r="G445" s="81"/>
      <c r="H445" s="81"/>
      <c r="I445" s="81"/>
      <c r="J445" s="81"/>
      <c r="K445" s="74"/>
      <c r="L445" s="81"/>
      <c r="M445" s="81"/>
      <c r="N445" s="81"/>
      <c r="O445" s="81"/>
      <c r="P445" s="74"/>
    </row>
    <row r="446">
      <c r="A446" s="74"/>
      <c r="B446" s="81"/>
      <c r="C446" s="81"/>
      <c r="D446" s="81"/>
      <c r="E446" s="81"/>
      <c r="F446" s="74"/>
      <c r="G446" s="81"/>
      <c r="H446" s="81"/>
      <c r="I446" s="81"/>
      <c r="J446" s="81"/>
      <c r="K446" s="74"/>
      <c r="L446" s="81"/>
      <c r="M446" s="81"/>
      <c r="N446" s="81"/>
      <c r="O446" s="81"/>
      <c r="P446" s="74"/>
    </row>
    <row r="447">
      <c r="A447" s="74"/>
      <c r="B447" s="81"/>
      <c r="C447" s="81"/>
      <c r="D447" s="81"/>
      <c r="E447" s="81"/>
      <c r="F447" s="74"/>
      <c r="G447" s="81"/>
      <c r="H447" s="81"/>
      <c r="I447" s="81"/>
      <c r="J447" s="81"/>
      <c r="K447" s="74"/>
      <c r="L447" s="81"/>
      <c r="M447" s="81"/>
      <c r="N447" s="81"/>
      <c r="O447" s="81"/>
      <c r="P447" s="74"/>
    </row>
    <row r="448">
      <c r="A448" s="74"/>
      <c r="B448" s="81"/>
      <c r="C448" s="81"/>
      <c r="D448" s="81"/>
      <c r="E448" s="81"/>
      <c r="F448" s="74"/>
      <c r="G448" s="81"/>
      <c r="H448" s="81"/>
      <c r="I448" s="81"/>
      <c r="J448" s="81"/>
      <c r="K448" s="74"/>
      <c r="L448" s="81"/>
      <c r="M448" s="81"/>
      <c r="N448" s="81"/>
      <c r="O448" s="81"/>
      <c r="P448" s="74"/>
    </row>
    <row r="449">
      <c r="A449" s="74"/>
      <c r="B449" s="81"/>
      <c r="C449" s="81"/>
      <c r="D449" s="81"/>
      <c r="E449" s="81"/>
      <c r="F449" s="74"/>
      <c r="G449" s="81"/>
      <c r="H449" s="81"/>
      <c r="I449" s="81"/>
      <c r="J449" s="81"/>
      <c r="K449" s="74"/>
      <c r="L449" s="81"/>
      <c r="M449" s="81"/>
      <c r="N449" s="81"/>
      <c r="O449" s="81"/>
      <c r="P449" s="74"/>
    </row>
    <row r="450">
      <c r="A450" s="74"/>
      <c r="B450" s="81"/>
      <c r="C450" s="81"/>
      <c r="D450" s="81"/>
      <c r="E450" s="81"/>
      <c r="F450" s="74"/>
      <c r="G450" s="81"/>
      <c r="H450" s="81"/>
      <c r="I450" s="81"/>
      <c r="J450" s="81"/>
      <c r="K450" s="74"/>
      <c r="L450" s="81"/>
      <c r="M450" s="81"/>
      <c r="N450" s="81"/>
      <c r="O450" s="81"/>
      <c r="P450" s="74"/>
    </row>
    <row r="451">
      <c r="A451" s="74"/>
      <c r="B451" s="81"/>
      <c r="C451" s="81"/>
      <c r="D451" s="81"/>
      <c r="E451" s="81"/>
      <c r="F451" s="74"/>
      <c r="G451" s="81"/>
      <c r="H451" s="81"/>
      <c r="I451" s="81"/>
      <c r="J451" s="81"/>
      <c r="K451" s="74"/>
      <c r="L451" s="81"/>
      <c r="M451" s="81"/>
      <c r="N451" s="81"/>
      <c r="O451" s="81"/>
      <c r="P451" s="74"/>
    </row>
    <row r="452">
      <c r="A452" s="74"/>
      <c r="B452" s="81"/>
      <c r="C452" s="81"/>
      <c r="D452" s="81"/>
      <c r="E452" s="81"/>
      <c r="F452" s="74"/>
      <c r="G452" s="81"/>
      <c r="H452" s="81"/>
      <c r="I452" s="81"/>
      <c r="J452" s="81"/>
      <c r="K452" s="74"/>
      <c r="L452" s="81"/>
      <c r="M452" s="81"/>
      <c r="N452" s="81"/>
      <c r="O452" s="81"/>
      <c r="P452" s="74"/>
    </row>
    <row r="453">
      <c r="A453" s="74"/>
      <c r="B453" s="81"/>
      <c r="C453" s="81"/>
      <c r="D453" s="81"/>
      <c r="E453" s="81"/>
      <c r="F453" s="74"/>
      <c r="G453" s="81"/>
      <c r="H453" s="81"/>
      <c r="I453" s="81"/>
      <c r="J453" s="81"/>
      <c r="K453" s="74"/>
      <c r="L453" s="81"/>
      <c r="M453" s="81"/>
      <c r="N453" s="81"/>
      <c r="O453" s="81"/>
      <c r="P453" s="74"/>
    </row>
    <row r="454">
      <c r="A454" s="74"/>
      <c r="B454" s="81"/>
      <c r="C454" s="81"/>
      <c r="D454" s="81"/>
      <c r="E454" s="81"/>
      <c r="F454" s="74"/>
      <c r="G454" s="81"/>
      <c r="H454" s="81"/>
      <c r="I454" s="81"/>
      <c r="J454" s="81"/>
      <c r="K454" s="74"/>
      <c r="L454" s="81"/>
      <c r="M454" s="81"/>
      <c r="N454" s="81"/>
      <c r="O454" s="81"/>
      <c r="P454" s="74"/>
    </row>
    <row r="455">
      <c r="A455" s="74"/>
      <c r="B455" s="81"/>
      <c r="C455" s="81"/>
      <c r="D455" s="81"/>
      <c r="E455" s="81"/>
      <c r="F455" s="74"/>
      <c r="G455" s="81"/>
      <c r="H455" s="81"/>
      <c r="I455" s="81"/>
      <c r="J455" s="81"/>
      <c r="K455" s="74"/>
      <c r="L455" s="81"/>
      <c r="M455" s="81"/>
      <c r="N455" s="81"/>
      <c r="O455" s="81"/>
      <c r="P455" s="74"/>
    </row>
    <row r="456">
      <c r="A456" s="74"/>
      <c r="B456" s="81"/>
      <c r="C456" s="81"/>
      <c r="D456" s="81"/>
      <c r="E456" s="81"/>
      <c r="F456" s="74"/>
      <c r="G456" s="81"/>
      <c r="H456" s="81"/>
      <c r="I456" s="81"/>
      <c r="J456" s="81"/>
      <c r="K456" s="74"/>
      <c r="L456" s="81"/>
      <c r="M456" s="81"/>
      <c r="N456" s="81"/>
      <c r="O456" s="81"/>
      <c r="P456" s="74"/>
    </row>
    <row r="457">
      <c r="A457" s="74"/>
      <c r="B457" s="81"/>
      <c r="C457" s="81"/>
      <c r="D457" s="81"/>
      <c r="E457" s="81"/>
      <c r="F457" s="74"/>
      <c r="G457" s="81"/>
      <c r="H457" s="81"/>
      <c r="I457" s="81"/>
      <c r="J457" s="81"/>
      <c r="K457" s="74"/>
      <c r="L457" s="81"/>
      <c r="M457" s="81"/>
      <c r="N457" s="81"/>
      <c r="O457" s="81"/>
      <c r="P457" s="74"/>
    </row>
    <row r="458">
      <c r="A458" s="74"/>
      <c r="B458" s="81"/>
      <c r="C458" s="81"/>
      <c r="D458" s="81"/>
      <c r="E458" s="81"/>
      <c r="F458" s="74"/>
      <c r="G458" s="81"/>
      <c r="H458" s="81"/>
      <c r="I458" s="81"/>
      <c r="J458" s="81"/>
      <c r="K458" s="74"/>
      <c r="L458" s="81"/>
      <c r="M458" s="81"/>
      <c r="N458" s="81"/>
      <c r="O458" s="81"/>
      <c r="P458" s="74"/>
    </row>
    <row r="459">
      <c r="A459" s="74"/>
      <c r="B459" s="81"/>
      <c r="C459" s="81"/>
      <c r="D459" s="81"/>
      <c r="E459" s="81"/>
      <c r="F459" s="74"/>
      <c r="G459" s="81"/>
      <c r="H459" s="81"/>
      <c r="I459" s="81"/>
      <c r="J459" s="81"/>
      <c r="K459" s="74"/>
      <c r="L459" s="81"/>
      <c r="M459" s="81"/>
      <c r="N459" s="81"/>
      <c r="O459" s="81"/>
      <c r="P459" s="74"/>
    </row>
    <row r="460">
      <c r="A460" s="74"/>
      <c r="B460" s="81"/>
      <c r="C460" s="81"/>
      <c r="D460" s="81"/>
      <c r="E460" s="81"/>
      <c r="F460" s="74"/>
      <c r="G460" s="81"/>
      <c r="H460" s="81"/>
      <c r="I460" s="81"/>
      <c r="J460" s="81"/>
      <c r="K460" s="74"/>
      <c r="L460" s="81"/>
      <c r="M460" s="81"/>
      <c r="N460" s="81"/>
      <c r="O460" s="81"/>
      <c r="P460" s="74"/>
    </row>
    <row r="461">
      <c r="A461" s="74"/>
      <c r="B461" s="81"/>
      <c r="C461" s="81"/>
      <c r="D461" s="81"/>
      <c r="E461" s="81"/>
      <c r="F461" s="74"/>
      <c r="G461" s="81"/>
      <c r="H461" s="81"/>
      <c r="I461" s="81"/>
      <c r="J461" s="81"/>
      <c r="K461" s="74"/>
      <c r="L461" s="81"/>
      <c r="M461" s="81"/>
      <c r="N461" s="81"/>
      <c r="O461" s="81"/>
      <c r="P461" s="74"/>
    </row>
    <row r="462">
      <c r="A462" s="74"/>
      <c r="B462" s="81"/>
      <c r="C462" s="81"/>
      <c r="D462" s="81"/>
      <c r="E462" s="81"/>
      <c r="F462" s="74"/>
      <c r="G462" s="81"/>
      <c r="H462" s="81"/>
      <c r="I462" s="81"/>
      <c r="J462" s="81"/>
      <c r="K462" s="74"/>
      <c r="L462" s="81"/>
      <c r="M462" s="81"/>
      <c r="N462" s="81"/>
      <c r="O462" s="81"/>
      <c r="P462" s="74"/>
    </row>
    <row r="463">
      <c r="A463" s="74"/>
      <c r="B463" s="81"/>
      <c r="C463" s="81"/>
      <c r="D463" s="81"/>
      <c r="E463" s="81"/>
      <c r="F463" s="74"/>
      <c r="G463" s="81"/>
      <c r="H463" s="81"/>
      <c r="I463" s="81"/>
      <c r="J463" s="81"/>
      <c r="K463" s="74"/>
      <c r="L463" s="81"/>
      <c r="M463" s="81"/>
      <c r="N463" s="81"/>
      <c r="O463" s="81"/>
      <c r="P463" s="74"/>
    </row>
    <row r="464">
      <c r="A464" s="74"/>
      <c r="B464" s="81"/>
      <c r="C464" s="81"/>
      <c r="D464" s="81"/>
      <c r="E464" s="81"/>
      <c r="F464" s="74"/>
      <c r="G464" s="81"/>
      <c r="H464" s="81"/>
      <c r="I464" s="81"/>
      <c r="J464" s="81"/>
      <c r="K464" s="74"/>
      <c r="L464" s="81"/>
      <c r="M464" s="81"/>
      <c r="N464" s="81"/>
      <c r="O464" s="81"/>
      <c r="P464" s="74"/>
    </row>
    <row r="465">
      <c r="A465" s="74"/>
      <c r="B465" s="81"/>
      <c r="C465" s="81"/>
      <c r="D465" s="81"/>
      <c r="E465" s="81"/>
      <c r="F465" s="74"/>
      <c r="G465" s="81"/>
      <c r="H465" s="81"/>
      <c r="I465" s="81"/>
      <c r="J465" s="81"/>
      <c r="K465" s="74"/>
      <c r="L465" s="81"/>
      <c r="M465" s="81"/>
      <c r="N465" s="81"/>
      <c r="O465" s="81"/>
      <c r="P465" s="74"/>
    </row>
    <row r="466">
      <c r="A466" s="74"/>
      <c r="B466" s="81"/>
      <c r="C466" s="81"/>
      <c r="D466" s="81"/>
      <c r="E466" s="81"/>
      <c r="F466" s="74"/>
      <c r="G466" s="81"/>
      <c r="H466" s="81"/>
      <c r="I466" s="81"/>
      <c r="J466" s="81"/>
      <c r="K466" s="74"/>
      <c r="L466" s="81"/>
      <c r="M466" s="81"/>
      <c r="N466" s="81"/>
      <c r="O466" s="81"/>
      <c r="P466" s="74"/>
    </row>
    <row r="467">
      <c r="A467" s="74"/>
      <c r="B467" s="81"/>
      <c r="C467" s="81"/>
      <c r="D467" s="81"/>
      <c r="E467" s="81"/>
      <c r="F467" s="74"/>
      <c r="G467" s="81"/>
      <c r="H467" s="81"/>
      <c r="I467" s="81"/>
      <c r="J467" s="81"/>
      <c r="K467" s="74"/>
      <c r="L467" s="81"/>
      <c r="M467" s="81"/>
      <c r="N467" s="81"/>
      <c r="O467" s="81"/>
      <c r="P467" s="74"/>
    </row>
    <row r="468">
      <c r="A468" s="74"/>
      <c r="B468" s="81"/>
      <c r="C468" s="81"/>
      <c r="D468" s="81"/>
      <c r="E468" s="81"/>
      <c r="F468" s="74"/>
      <c r="G468" s="81"/>
      <c r="H468" s="81"/>
      <c r="I468" s="81"/>
      <c r="J468" s="81"/>
      <c r="K468" s="74"/>
      <c r="L468" s="81"/>
      <c r="M468" s="81"/>
      <c r="N468" s="81"/>
      <c r="O468" s="81"/>
      <c r="P468" s="74"/>
    </row>
    <row r="469">
      <c r="A469" s="74"/>
      <c r="B469" s="81"/>
      <c r="C469" s="81"/>
      <c r="D469" s="81"/>
      <c r="E469" s="81"/>
      <c r="F469" s="74"/>
      <c r="G469" s="81"/>
      <c r="H469" s="81"/>
      <c r="I469" s="81"/>
      <c r="J469" s="81"/>
      <c r="K469" s="74"/>
      <c r="L469" s="81"/>
      <c r="M469" s="81"/>
      <c r="N469" s="81"/>
      <c r="O469" s="81"/>
      <c r="P469" s="74"/>
    </row>
    <row r="470">
      <c r="A470" s="74"/>
      <c r="B470" s="81"/>
      <c r="C470" s="81"/>
      <c r="D470" s="81"/>
      <c r="E470" s="81"/>
      <c r="F470" s="74"/>
      <c r="G470" s="81"/>
      <c r="H470" s="81"/>
      <c r="I470" s="81"/>
      <c r="J470" s="81"/>
      <c r="K470" s="74"/>
      <c r="L470" s="81"/>
      <c r="M470" s="81"/>
      <c r="N470" s="81"/>
      <c r="O470" s="81"/>
      <c r="P470" s="74"/>
    </row>
    <row r="471">
      <c r="A471" s="74"/>
      <c r="B471" s="81"/>
      <c r="C471" s="81"/>
      <c r="D471" s="81"/>
      <c r="E471" s="81"/>
      <c r="F471" s="74"/>
      <c r="G471" s="81"/>
      <c r="H471" s="81"/>
      <c r="I471" s="81"/>
      <c r="J471" s="81"/>
      <c r="K471" s="74"/>
      <c r="L471" s="81"/>
      <c r="M471" s="81"/>
      <c r="N471" s="81"/>
      <c r="O471" s="81"/>
      <c r="P471" s="74"/>
    </row>
    <row r="472">
      <c r="A472" s="74"/>
      <c r="B472" s="81"/>
      <c r="C472" s="81"/>
      <c r="D472" s="81"/>
      <c r="E472" s="81"/>
      <c r="F472" s="74"/>
      <c r="G472" s="81"/>
      <c r="H472" s="81"/>
      <c r="I472" s="81"/>
      <c r="J472" s="81"/>
      <c r="K472" s="74"/>
      <c r="L472" s="81"/>
      <c r="M472" s="81"/>
      <c r="N472" s="81"/>
      <c r="O472" s="81"/>
      <c r="P472" s="74"/>
    </row>
    <row r="473">
      <c r="A473" s="74"/>
      <c r="B473" s="81"/>
      <c r="C473" s="81"/>
      <c r="D473" s="81"/>
      <c r="E473" s="81"/>
      <c r="F473" s="74"/>
      <c r="G473" s="81"/>
      <c r="H473" s="81"/>
      <c r="I473" s="81"/>
      <c r="J473" s="81"/>
      <c r="K473" s="74"/>
      <c r="L473" s="81"/>
      <c r="M473" s="81"/>
      <c r="N473" s="81"/>
      <c r="O473" s="81"/>
      <c r="P473" s="74"/>
    </row>
    <row r="474">
      <c r="A474" s="74"/>
      <c r="B474" s="81"/>
      <c r="C474" s="81"/>
      <c r="D474" s="81"/>
      <c r="E474" s="81"/>
      <c r="F474" s="74"/>
      <c r="G474" s="81"/>
      <c r="H474" s="81"/>
      <c r="I474" s="81"/>
      <c r="J474" s="81"/>
      <c r="K474" s="74"/>
      <c r="L474" s="81"/>
      <c r="M474" s="81"/>
      <c r="N474" s="81"/>
      <c r="O474" s="81"/>
      <c r="P474" s="74"/>
    </row>
    <row r="475">
      <c r="A475" s="74"/>
      <c r="B475" s="81"/>
      <c r="C475" s="81"/>
      <c r="D475" s="81"/>
      <c r="E475" s="81"/>
      <c r="F475" s="74"/>
      <c r="G475" s="81"/>
      <c r="H475" s="81"/>
      <c r="I475" s="81"/>
      <c r="J475" s="81"/>
      <c r="K475" s="74"/>
      <c r="L475" s="81"/>
      <c r="M475" s="81"/>
      <c r="N475" s="81"/>
      <c r="O475" s="81"/>
      <c r="P475" s="74"/>
    </row>
    <row r="476">
      <c r="A476" s="74"/>
      <c r="B476" s="81"/>
      <c r="C476" s="81"/>
      <c r="D476" s="81"/>
      <c r="E476" s="81"/>
      <c r="F476" s="74"/>
      <c r="G476" s="81"/>
      <c r="H476" s="81"/>
      <c r="I476" s="81"/>
      <c r="J476" s="81"/>
      <c r="K476" s="74"/>
      <c r="L476" s="81"/>
      <c r="M476" s="81"/>
      <c r="N476" s="81"/>
      <c r="O476" s="81"/>
      <c r="P476" s="74"/>
    </row>
    <row r="477">
      <c r="A477" s="74"/>
      <c r="B477" s="81"/>
      <c r="C477" s="81"/>
      <c r="D477" s="81"/>
      <c r="E477" s="81"/>
      <c r="F477" s="74"/>
      <c r="G477" s="81"/>
      <c r="H477" s="81"/>
      <c r="I477" s="81"/>
      <c r="J477" s="81"/>
      <c r="K477" s="74"/>
      <c r="L477" s="81"/>
      <c r="M477" s="81"/>
      <c r="N477" s="81"/>
      <c r="O477" s="81"/>
      <c r="P477" s="74"/>
    </row>
    <row r="478">
      <c r="A478" s="74"/>
      <c r="B478" s="81"/>
      <c r="C478" s="81"/>
      <c r="D478" s="81"/>
      <c r="E478" s="81"/>
      <c r="F478" s="74"/>
      <c r="G478" s="81"/>
      <c r="H478" s="81"/>
      <c r="I478" s="81"/>
      <c r="J478" s="81"/>
      <c r="K478" s="74"/>
      <c r="L478" s="81"/>
      <c r="M478" s="81"/>
      <c r="N478" s="81"/>
      <c r="O478" s="81"/>
      <c r="P478" s="74"/>
    </row>
    <row r="479">
      <c r="A479" s="74"/>
      <c r="B479" s="81"/>
      <c r="C479" s="81"/>
      <c r="D479" s="81"/>
      <c r="E479" s="81"/>
      <c r="F479" s="74"/>
      <c r="G479" s="81"/>
      <c r="H479" s="81"/>
      <c r="I479" s="81"/>
      <c r="J479" s="81"/>
      <c r="K479" s="74"/>
      <c r="L479" s="81"/>
      <c r="M479" s="81"/>
      <c r="N479" s="81"/>
      <c r="O479" s="81"/>
      <c r="P479" s="74"/>
    </row>
    <row r="480">
      <c r="A480" s="74"/>
      <c r="B480" s="81"/>
      <c r="C480" s="81"/>
      <c r="D480" s="81"/>
      <c r="E480" s="81"/>
      <c r="F480" s="74"/>
      <c r="G480" s="81"/>
      <c r="H480" s="81"/>
      <c r="I480" s="81"/>
      <c r="J480" s="81"/>
      <c r="K480" s="74"/>
      <c r="L480" s="81"/>
      <c r="M480" s="81"/>
      <c r="N480" s="81"/>
      <c r="O480" s="81"/>
      <c r="P480" s="74"/>
    </row>
    <row r="481">
      <c r="A481" s="74"/>
      <c r="B481" s="81"/>
      <c r="C481" s="81"/>
      <c r="D481" s="81"/>
      <c r="E481" s="81"/>
      <c r="F481" s="74"/>
      <c r="G481" s="81"/>
      <c r="H481" s="81"/>
      <c r="I481" s="81"/>
      <c r="J481" s="81"/>
      <c r="K481" s="74"/>
      <c r="L481" s="81"/>
      <c r="M481" s="81"/>
      <c r="N481" s="81"/>
      <c r="O481" s="81"/>
      <c r="P481" s="74"/>
    </row>
    <row r="482">
      <c r="A482" s="74"/>
      <c r="B482" s="81"/>
      <c r="C482" s="81"/>
      <c r="D482" s="81"/>
      <c r="E482" s="81"/>
      <c r="F482" s="74"/>
      <c r="G482" s="81"/>
      <c r="H482" s="81"/>
      <c r="I482" s="81"/>
      <c r="J482" s="81"/>
      <c r="K482" s="74"/>
      <c r="L482" s="81"/>
      <c r="M482" s="81"/>
      <c r="N482" s="81"/>
      <c r="O482" s="81"/>
      <c r="P482" s="74"/>
    </row>
    <row r="483">
      <c r="A483" s="74"/>
      <c r="B483" s="81"/>
      <c r="C483" s="81"/>
      <c r="D483" s="81"/>
      <c r="E483" s="81"/>
      <c r="F483" s="74"/>
      <c r="G483" s="81"/>
      <c r="H483" s="81"/>
      <c r="I483" s="81"/>
      <c r="J483" s="81"/>
      <c r="K483" s="74"/>
      <c r="L483" s="81"/>
      <c r="M483" s="81"/>
      <c r="N483" s="81"/>
      <c r="O483" s="81"/>
      <c r="P483" s="74"/>
    </row>
    <row r="484">
      <c r="A484" s="74"/>
      <c r="B484" s="81"/>
      <c r="C484" s="81"/>
      <c r="D484" s="81"/>
      <c r="E484" s="81"/>
      <c r="F484" s="74"/>
      <c r="G484" s="81"/>
      <c r="H484" s="81"/>
      <c r="I484" s="81"/>
      <c r="J484" s="81"/>
      <c r="K484" s="74"/>
      <c r="L484" s="81"/>
      <c r="M484" s="81"/>
      <c r="N484" s="81"/>
      <c r="O484" s="81"/>
      <c r="P484" s="74"/>
    </row>
    <row r="485">
      <c r="A485" s="74"/>
      <c r="B485" s="81"/>
      <c r="C485" s="81"/>
      <c r="D485" s="81"/>
      <c r="E485" s="81"/>
      <c r="F485" s="74"/>
      <c r="G485" s="81"/>
      <c r="H485" s="81"/>
      <c r="I485" s="81"/>
      <c r="J485" s="81"/>
      <c r="K485" s="74"/>
      <c r="L485" s="81"/>
      <c r="M485" s="81"/>
      <c r="N485" s="81"/>
      <c r="O485" s="81"/>
      <c r="P485" s="74"/>
    </row>
    <row r="486">
      <c r="A486" s="74"/>
      <c r="B486" s="81"/>
      <c r="C486" s="81"/>
      <c r="D486" s="81"/>
      <c r="E486" s="81"/>
      <c r="F486" s="74"/>
      <c r="G486" s="81"/>
      <c r="H486" s="81"/>
      <c r="I486" s="81"/>
      <c r="J486" s="81"/>
      <c r="K486" s="74"/>
      <c r="L486" s="81"/>
      <c r="M486" s="81"/>
      <c r="N486" s="81"/>
      <c r="O486" s="81"/>
      <c r="P486" s="74"/>
    </row>
    <row r="487">
      <c r="A487" s="74"/>
      <c r="B487" s="81"/>
      <c r="C487" s="81"/>
      <c r="D487" s="81"/>
      <c r="E487" s="81"/>
      <c r="F487" s="74"/>
      <c r="G487" s="81"/>
      <c r="H487" s="81"/>
      <c r="I487" s="81"/>
      <c r="J487" s="81"/>
      <c r="K487" s="74"/>
      <c r="L487" s="81"/>
      <c r="M487" s="81"/>
      <c r="N487" s="81"/>
      <c r="O487" s="81"/>
      <c r="P487" s="74"/>
    </row>
    <row r="488">
      <c r="A488" s="74"/>
      <c r="B488" s="81"/>
      <c r="C488" s="81"/>
      <c r="D488" s="81"/>
      <c r="E488" s="81"/>
      <c r="F488" s="74"/>
      <c r="G488" s="81"/>
      <c r="H488" s="81"/>
      <c r="I488" s="81"/>
      <c r="J488" s="81"/>
      <c r="K488" s="74"/>
      <c r="L488" s="81"/>
      <c r="M488" s="81"/>
      <c r="N488" s="81"/>
      <c r="O488" s="81"/>
      <c r="P488" s="74"/>
    </row>
    <row r="489">
      <c r="A489" s="74"/>
      <c r="B489" s="81"/>
      <c r="C489" s="81"/>
      <c r="D489" s="81"/>
      <c r="E489" s="81"/>
      <c r="F489" s="74"/>
      <c r="G489" s="81"/>
      <c r="H489" s="81"/>
      <c r="I489" s="81"/>
      <c r="J489" s="81"/>
      <c r="K489" s="74"/>
      <c r="L489" s="81"/>
      <c r="M489" s="81"/>
      <c r="N489" s="81"/>
      <c r="O489" s="81"/>
      <c r="P489" s="74"/>
    </row>
    <row r="490">
      <c r="A490" s="74"/>
      <c r="B490" s="81"/>
      <c r="C490" s="81"/>
      <c r="D490" s="81"/>
      <c r="E490" s="81"/>
      <c r="F490" s="74"/>
      <c r="G490" s="81"/>
      <c r="H490" s="81"/>
      <c r="I490" s="81"/>
      <c r="J490" s="81"/>
      <c r="K490" s="74"/>
      <c r="L490" s="81"/>
      <c r="M490" s="81"/>
      <c r="N490" s="81"/>
      <c r="O490" s="81"/>
      <c r="P490" s="74"/>
    </row>
    <row r="491">
      <c r="A491" s="74"/>
      <c r="B491" s="81"/>
      <c r="C491" s="81"/>
      <c r="D491" s="81"/>
      <c r="E491" s="81"/>
      <c r="F491" s="74"/>
      <c r="G491" s="81"/>
      <c r="H491" s="81"/>
      <c r="I491" s="81"/>
      <c r="J491" s="81"/>
      <c r="K491" s="74"/>
      <c r="L491" s="81"/>
      <c r="M491" s="81"/>
      <c r="N491" s="81"/>
      <c r="O491" s="81"/>
      <c r="P491" s="74"/>
    </row>
    <row r="492">
      <c r="A492" s="74"/>
      <c r="B492" s="81"/>
      <c r="C492" s="81"/>
      <c r="D492" s="81"/>
      <c r="E492" s="81"/>
      <c r="F492" s="74"/>
      <c r="G492" s="81"/>
      <c r="H492" s="81"/>
      <c r="I492" s="81"/>
      <c r="J492" s="81"/>
      <c r="K492" s="74"/>
      <c r="L492" s="81"/>
      <c r="M492" s="81"/>
      <c r="N492" s="81"/>
      <c r="O492" s="81"/>
      <c r="P492" s="74"/>
    </row>
    <row r="493">
      <c r="A493" s="74"/>
      <c r="B493" s="81"/>
      <c r="C493" s="81"/>
      <c r="D493" s="81"/>
      <c r="E493" s="81"/>
      <c r="F493" s="74"/>
      <c r="G493" s="81"/>
      <c r="H493" s="81"/>
      <c r="I493" s="81"/>
      <c r="J493" s="81"/>
      <c r="K493" s="74"/>
      <c r="L493" s="81"/>
      <c r="M493" s="81"/>
      <c r="N493" s="81"/>
      <c r="O493" s="81"/>
      <c r="P493" s="74"/>
    </row>
    <row r="494">
      <c r="A494" s="74"/>
      <c r="B494" s="81"/>
      <c r="C494" s="81"/>
      <c r="D494" s="81"/>
      <c r="E494" s="81"/>
      <c r="F494" s="74"/>
      <c r="G494" s="81"/>
      <c r="H494" s="81"/>
      <c r="I494" s="81"/>
      <c r="J494" s="81"/>
      <c r="K494" s="74"/>
      <c r="L494" s="81"/>
      <c r="M494" s="81"/>
      <c r="N494" s="81"/>
      <c r="O494" s="81"/>
      <c r="P494" s="74"/>
    </row>
    <row r="495">
      <c r="A495" s="74"/>
      <c r="B495" s="81"/>
      <c r="C495" s="81"/>
      <c r="D495" s="81"/>
      <c r="E495" s="81"/>
      <c r="F495" s="74"/>
      <c r="G495" s="81"/>
      <c r="H495" s="81"/>
      <c r="I495" s="81"/>
      <c r="J495" s="81"/>
      <c r="K495" s="74"/>
      <c r="L495" s="81"/>
      <c r="M495" s="81"/>
      <c r="N495" s="81"/>
      <c r="O495" s="81"/>
      <c r="P495" s="74"/>
    </row>
    <row r="496">
      <c r="A496" s="74"/>
      <c r="B496" s="81"/>
      <c r="C496" s="81"/>
      <c r="D496" s="81"/>
      <c r="E496" s="81"/>
      <c r="F496" s="74"/>
      <c r="G496" s="81"/>
      <c r="H496" s="81"/>
      <c r="I496" s="81"/>
      <c r="J496" s="81"/>
      <c r="K496" s="74"/>
      <c r="L496" s="81"/>
      <c r="M496" s="81"/>
      <c r="N496" s="81"/>
      <c r="O496" s="81"/>
      <c r="P496" s="74"/>
    </row>
    <row r="497">
      <c r="A497" s="74"/>
      <c r="B497" s="81"/>
      <c r="C497" s="81"/>
      <c r="D497" s="81"/>
      <c r="E497" s="81"/>
      <c r="F497" s="74"/>
      <c r="G497" s="81"/>
      <c r="H497" s="81"/>
      <c r="I497" s="81"/>
      <c r="J497" s="81"/>
      <c r="K497" s="74"/>
      <c r="L497" s="81"/>
      <c r="M497" s="81"/>
      <c r="N497" s="81"/>
      <c r="O497" s="81"/>
      <c r="P497" s="74"/>
    </row>
    <row r="498">
      <c r="A498" s="74"/>
      <c r="B498" s="81"/>
      <c r="C498" s="81"/>
      <c r="D498" s="81"/>
      <c r="E498" s="81"/>
      <c r="F498" s="74"/>
      <c r="G498" s="81"/>
      <c r="H498" s="81"/>
      <c r="I498" s="81"/>
      <c r="J498" s="81"/>
      <c r="K498" s="74"/>
      <c r="L498" s="81"/>
      <c r="M498" s="81"/>
      <c r="N498" s="81"/>
      <c r="O498" s="81"/>
      <c r="P498" s="74"/>
    </row>
    <row r="499">
      <c r="A499" s="74"/>
      <c r="B499" s="81"/>
      <c r="C499" s="81"/>
      <c r="D499" s="81"/>
      <c r="E499" s="81"/>
      <c r="F499" s="74"/>
      <c r="G499" s="81"/>
      <c r="H499" s="81"/>
      <c r="I499" s="81"/>
      <c r="J499" s="81"/>
      <c r="K499" s="74"/>
      <c r="L499" s="81"/>
      <c r="M499" s="81"/>
      <c r="N499" s="81"/>
      <c r="O499" s="81"/>
      <c r="P499" s="74"/>
    </row>
    <row r="500">
      <c r="A500" s="74"/>
      <c r="B500" s="81"/>
      <c r="C500" s="81"/>
      <c r="D500" s="81"/>
      <c r="E500" s="81"/>
      <c r="F500" s="74"/>
      <c r="G500" s="81"/>
      <c r="H500" s="81"/>
      <c r="I500" s="81"/>
      <c r="J500" s="81"/>
      <c r="K500" s="74"/>
      <c r="L500" s="81"/>
      <c r="M500" s="81"/>
      <c r="N500" s="81"/>
      <c r="O500" s="81"/>
      <c r="P500" s="74"/>
    </row>
    <row r="501">
      <c r="A501" s="74"/>
      <c r="B501" s="81"/>
      <c r="C501" s="81"/>
      <c r="D501" s="81"/>
      <c r="E501" s="81"/>
      <c r="F501" s="74"/>
      <c r="G501" s="81"/>
      <c r="H501" s="81"/>
      <c r="I501" s="81"/>
      <c r="J501" s="81"/>
      <c r="K501" s="74"/>
      <c r="L501" s="81"/>
      <c r="M501" s="81"/>
      <c r="N501" s="81"/>
      <c r="O501" s="81"/>
      <c r="P501" s="74"/>
    </row>
    <row r="502">
      <c r="A502" s="74"/>
      <c r="B502" s="81"/>
      <c r="C502" s="81"/>
      <c r="D502" s="81"/>
      <c r="E502" s="81"/>
      <c r="F502" s="74"/>
      <c r="G502" s="81"/>
      <c r="H502" s="81"/>
      <c r="I502" s="81"/>
      <c r="J502" s="81"/>
      <c r="K502" s="74"/>
      <c r="L502" s="81"/>
      <c r="M502" s="81"/>
      <c r="N502" s="81"/>
      <c r="O502" s="81"/>
      <c r="P502" s="74"/>
    </row>
    <row r="503">
      <c r="A503" s="74"/>
      <c r="B503" s="81"/>
      <c r="C503" s="81"/>
      <c r="D503" s="81"/>
      <c r="E503" s="81"/>
      <c r="F503" s="74"/>
      <c r="G503" s="81"/>
      <c r="H503" s="81"/>
      <c r="I503" s="81"/>
      <c r="J503" s="81"/>
      <c r="K503" s="74"/>
      <c r="L503" s="81"/>
      <c r="M503" s="81"/>
      <c r="N503" s="81"/>
      <c r="O503" s="81"/>
      <c r="P503" s="74"/>
    </row>
    <row r="504">
      <c r="A504" s="74"/>
      <c r="B504" s="81"/>
      <c r="C504" s="81"/>
      <c r="D504" s="81"/>
      <c r="E504" s="81"/>
      <c r="F504" s="74"/>
      <c r="G504" s="81"/>
      <c r="H504" s="81"/>
      <c r="I504" s="81"/>
      <c r="J504" s="81"/>
      <c r="K504" s="74"/>
      <c r="L504" s="81"/>
      <c r="M504" s="81"/>
      <c r="N504" s="81"/>
      <c r="O504" s="81"/>
      <c r="P504" s="74"/>
    </row>
    <row r="505">
      <c r="A505" s="74"/>
      <c r="B505" s="81"/>
      <c r="C505" s="81"/>
      <c r="D505" s="81"/>
      <c r="E505" s="81"/>
      <c r="F505" s="74"/>
      <c r="G505" s="81"/>
      <c r="H505" s="81"/>
      <c r="I505" s="81"/>
      <c r="J505" s="81"/>
      <c r="K505" s="74"/>
      <c r="L505" s="81"/>
      <c r="M505" s="81"/>
      <c r="N505" s="81"/>
      <c r="O505" s="81"/>
      <c r="P505" s="74"/>
    </row>
    <row r="506">
      <c r="A506" s="74"/>
      <c r="B506" s="81"/>
      <c r="C506" s="81"/>
      <c r="D506" s="81"/>
      <c r="E506" s="81"/>
      <c r="F506" s="74"/>
      <c r="G506" s="81"/>
      <c r="H506" s="81"/>
      <c r="I506" s="81"/>
      <c r="J506" s="81"/>
      <c r="K506" s="74"/>
      <c r="L506" s="81"/>
      <c r="M506" s="81"/>
      <c r="N506" s="81"/>
      <c r="O506" s="81"/>
      <c r="P506" s="74"/>
    </row>
    <row r="507">
      <c r="A507" s="74"/>
      <c r="B507" s="81"/>
      <c r="C507" s="81"/>
      <c r="D507" s="81"/>
      <c r="E507" s="81"/>
      <c r="F507" s="74"/>
      <c r="G507" s="81"/>
      <c r="H507" s="81"/>
      <c r="I507" s="81"/>
      <c r="J507" s="81"/>
      <c r="K507" s="74"/>
      <c r="L507" s="81"/>
      <c r="M507" s="81"/>
      <c r="N507" s="81"/>
      <c r="O507" s="81"/>
      <c r="P507" s="74"/>
    </row>
    <row r="508">
      <c r="A508" s="74"/>
      <c r="B508" s="81"/>
      <c r="C508" s="81"/>
      <c r="D508" s="81"/>
      <c r="E508" s="81"/>
      <c r="F508" s="74"/>
      <c r="G508" s="81"/>
      <c r="H508" s="81"/>
      <c r="I508" s="81"/>
      <c r="J508" s="81"/>
      <c r="K508" s="74"/>
      <c r="L508" s="81"/>
      <c r="M508" s="81"/>
      <c r="N508" s="81"/>
      <c r="O508" s="81"/>
      <c r="P508" s="74"/>
    </row>
    <row r="509">
      <c r="A509" s="74"/>
      <c r="B509" s="81"/>
      <c r="C509" s="81"/>
      <c r="D509" s="81"/>
      <c r="E509" s="81"/>
      <c r="F509" s="74"/>
      <c r="G509" s="81"/>
      <c r="H509" s="81"/>
      <c r="I509" s="81"/>
      <c r="J509" s="81"/>
      <c r="K509" s="74"/>
      <c r="L509" s="81"/>
      <c r="M509" s="81"/>
      <c r="N509" s="81"/>
      <c r="O509" s="81"/>
      <c r="P509" s="74"/>
    </row>
    <row r="510">
      <c r="A510" s="74"/>
      <c r="B510" s="81"/>
      <c r="C510" s="81"/>
      <c r="D510" s="81"/>
      <c r="E510" s="81"/>
      <c r="F510" s="74"/>
      <c r="G510" s="81"/>
      <c r="H510" s="81"/>
      <c r="I510" s="81"/>
      <c r="J510" s="81"/>
      <c r="K510" s="74"/>
      <c r="L510" s="81"/>
      <c r="M510" s="81"/>
      <c r="N510" s="81"/>
      <c r="O510" s="81"/>
      <c r="P510" s="74"/>
    </row>
    <row r="511">
      <c r="A511" s="74"/>
      <c r="B511" s="81"/>
      <c r="C511" s="81"/>
      <c r="D511" s="81"/>
      <c r="E511" s="81"/>
      <c r="F511" s="74"/>
      <c r="G511" s="81"/>
      <c r="H511" s="81"/>
      <c r="I511" s="81"/>
      <c r="J511" s="81"/>
      <c r="K511" s="74"/>
      <c r="L511" s="81"/>
      <c r="M511" s="81"/>
      <c r="N511" s="81"/>
      <c r="O511" s="81"/>
      <c r="P511" s="74"/>
    </row>
    <row r="512">
      <c r="A512" s="74"/>
      <c r="B512" s="81"/>
      <c r="C512" s="81"/>
      <c r="D512" s="81"/>
      <c r="E512" s="81"/>
      <c r="F512" s="74"/>
      <c r="G512" s="81"/>
      <c r="H512" s="81"/>
      <c r="I512" s="81"/>
      <c r="J512" s="81"/>
      <c r="K512" s="74"/>
      <c r="L512" s="81"/>
      <c r="M512" s="81"/>
      <c r="N512" s="81"/>
      <c r="O512" s="81"/>
      <c r="P512" s="74"/>
    </row>
    <row r="513">
      <c r="A513" s="74"/>
      <c r="B513" s="81"/>
      <c r="C513" s="81"/>
      <c r="D513" s="81"/>
      <c r="E513" s="81"/>
      <c r="F513" s="74"/>
      <c r="G513" s="81"/>
      <c r="H513" s="81"/>
      <c r="I513" s="81"/>
      <c r="J513" s="81"/>
      <c r="K513" s="74"/>
      <c r="L513" s="81"/>
      <c r="M513" s="81"/>
      <c r="N513" s="81"/>
      <c r="O513" s="81"/>
      <c r="P513" s="74"/>
    </row>
    <row r="514">
      <c r="A514" s="74"/>
      <c r="B514" s="81"/>
      <c r="C514" s="81"/>
      <c r="D514" s="81"/>
      <c r="E514" s="81"/>
      <c r="F514" s="74"/>
      <c r="G514" s="81"/>
      <c r="H514" s="81"/>
      <c r="I514" s="81"/>
      <c r="J514" s="81"/>
      <c r="K514" s="74"/>
      <c r="L514" s="81"/>
      <c r="M514" s="81"/>
      <c r="N514" s="81"/>
      <c r="O514" s="81"/>
      <c r="P514" s="74"/>
    </row>
    <row r="515">
      <c r="A515" s="74"/>
      <c r="B515" s="81"/>
      <c r="C515" s="81"/>
      <c r="D515" s="81"/>
      <c r="E515" s="81"/>
      <c r="F515" s="74"/>
      <c r="G515" s="81"/>
      <c r="H515" s="81"/>
      <c r="I515" s="81"/>
      <c r="J515" s="81"/>
      <c r="K515" s="74"/>
      <c r="L515" s="81"/>
      <c r="M515" s="81"/>
      <c r="N515" s="81"/>
      <c r="O515" s="81"/>
      <c r="P515" s="74"/>
    </row>
    <row r="516">
      <c r="A516" s="74"/>
      <c r="B516" s="81"/>
      <c r="C516" s="81"/>
      <c r="D516" s="81"/>
      <c r="E516" s="81"/>
      <c r="F516" s="74"/>
      <c r="G516" s="81"/>
      <c r="H516" s="81"/>
      <c r="I516" s="81"/>
      <c r="J516" s="81"/>
      <c r="K516" s="74"/>
      <c r="L516" s="81"/>
      <c r="M516" s="81"/>
      <c r="N516" s="81"/>
      <c r="O516" s="81"/>
      <c r="P516" s="74"/>
    </row>
    <row r="517">
      <c r="A517" s="74"/>
      <c r="B517" s="81"/>
      <c r="C517" s="81"/>
      <c r="D517" s="81"/>
      <c r="E517" s="81"/>
      <c r="F517" s="74"/>
      <c r="G517" s="81"/>
      <c r="H517" s="81"/>
      <c r="I517" s="81"/>
      <c r="J517" s="81"/>
      <c r="K517" s="74"/>
      <c r="L517" s="81"/>
      <c r="M517" s="81"/>
      <c r="N517" s="81"/>
      <c r="O517" s="81"/>
      <c r="P517" s="74"/>
    </row>
    <row r="518">
      <c r="A518" s="74"/>
      <c r="B518" s="81"/>
      <c r="C518" s="81"/>
      <c r="D518" s="81"/>
      <c r="E518" s="81"/>
      <c r="F518" s="74"/>
      <c r="G518" s="81"/>
      <c r="H518" s="81"/>
      <c r="I518" s="81"/>
      <c r="J518" s="81"/>
      <c r="K518" s="74"/>
      <c r="L518" s="81"/>
      <c r="M518" s="81"/>
      <c r="N518" s="81"/>
      <c r="O518" s="81"/>
      <c r="P518" s="74"/>
    </row>
    <row r="519">
      <c r="A519" s="74"/>
      <c r="B519" s="81"/>
      <c r="C519" s="81"/>
      <c r="D519" s="81"/>
      <c r="E519" s="81"/>
      <c r="F519" s="74"/>
      <c r="G519" s="81"/>
      <c r="H519" s="81"/>
      <c r="I519" s="81"/>
      <c r="J519" s="81"/>
      <c r="K519" s="74"/>
      <c r="L519" s="81"/>
      <c r="M519" s="81"/>
      <c r="N519" s="81"/>
      <c r="O519" s="81"/>
      <c r="P519" s="74"/>
    </row>
    <row r="520">
      <c r="A520" s="74"/>
      <c r="B520" s="81"/>
      <c r="C520" s="81"/>
      <c r="D520" s="81"/>
      <c r="E520" s="81"/>
      <c r="F520" s="74"/>
      <c r="G520" s="81"/>
      <c r="H520" s="81"/>
      <c r="I520" s="81"/>
      <c r="J520" s="81"/>
      <c r="K520" s="74"/>
      <c r="L520" s="81"/>
      <c r="M520" s="81"/>
      <c r="N520" s="81"/>
      <c r="O520" s="81"/>
      <c r="P520" s="74"/>
    </row>
    <row r="521">
      <c r="A521" s="74"/>
      <c r="B521" s="81"/>
      <c r="C521" s="81"/>
      <c r="D521" s="81"/>
      <c r="E521" s="81"/>
      <c r="F521" s="74"/>
      <c r="G521" s="81"/>
      <c r="H521" s="81"/>
      <c r="I521" s="81"/>
      <c r="J521" s="81"/>
      <c r="K521" s="74"/>
      <c r="L521" s="81"/>
      <c r="M521" s="81"/>
      <c r="N521" s="81"/>
      <c r="O521" s="81"/>
      <c r="P521" s="74"/>
    </row>
  </sheetData>
  <mergeCells count="3">
    <mergeCell ref="B2:D2"/>
    <mergeCell ref="G2:I2"/>
    <mergeCell ref="L2:N2"/>
  </mergeCells>
  <conditionalFormatting sqref="D3:D17 E3:E521 I3:I17 J3:J521 N3:N17 O3:O521">
    <cfRule type="expression" dxfId="6" priority="1">
      <formula>0&lt; C3:C10 &lt; 10</formula>
    </cfRule>
  </conditionalFormatting>
  <conditionalFormatting sqref="D3:D17 E3:E521 I3:I17 J3:J521 N3:N17 O3:O521">
    <cfRule type="expression" dxfId="7" priority="2">
      <formula>AND(C3:C10 &lt;&gt; " ",C3:C10 &lt;0 )</formula>
    </cfRule>
  </conditionalFormatting>
  <conditionalFormatting sqref="E3:E521 I3:I17 J3:J521 N3:N10 O3:O521">
    <cfRule type="expression" dxfId="6" priority="3">
      <formula>AND(D3:D10 &gt; 0,D3:D10 &lt; 10)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5"/>
    <col customWidth="1" min="2" max="2" width="9.5"/>
    <col customWidth="1" min="3" max="3" width="6.38"/>
    <col customWidth="1" min="4" max="4" width="9.5"/>
    <col customWidth="1" min="5" max="5" width="25.13"/>
    <col customWidth="1" min="6" max="7" width="9.5"/>
    <col customWidth="1" min="8" max="8" width="12.63"/>
    <col customWidth="1" min="9" max="17" width="9.5"/>
    <col customWidth="1" min="18" max="18" width="3.25"/>
  </cols>
  <sheetData>
    <row r="1" ht="65.25" customHeight="1">
      <c r="A1" s="81"/>
      <c r="B1" s="81"/>
      <c r="C1" s="88" t="s">
        <v>2259</v>
      </c>
      <c r="Q1" s="88"/>
      <c r="R1" s="81"/>
    </row>
    <row r="2">
      <c r="A2" s="81"/>
      <c r="B2" s="89"/>
      <c r="I2" s="81"/>
      <c r="J2" s="81"/>
      <c r="K2" s="81"/>
      <c r="L2" s="81"/>
      <c r="M2" s="81"/>
      <c r="N2" s="81"/>
      <c r="O2" s="81"/>
      <c r="P2" s="81"/>
      <c r="Q2" s="81"/>
      <c r="R2" s="81"/>
    </row>
    <row r="3">
      <c r="A3" s="90"/>
      <c r="B3" s="91" t="s">
        <v>2260</v>
      </c>
      <c r="C3" s="30"/>
      <c r="D3" s="30"/>
      <c r="E3" s="30"/>
      <c r="F3" s="30"/>
      <c r="G3" s="34"/>
      <c r="H3" s="92" t="s">
        <v>2261</v>
      </c>
      <c r="I3" s="93"/>
      <c r="J3" s="93"/>
      <c r="K3" s="93"/>
      <c r="L3" s="93"/>
      <c r="M3" s="93"/>
      <c r="N3" s="93"/>
      <c r="O3" s="93"/>
      <c r="P3" s="93"/>
      <c r="Q3" s="94"/>
      <c r="R3" s="95"/>
    </row>
    <row r="4">
      <c r="A4" s="90"/>
      <c r="B4" s="96"/>
      <c r="C4" s="97"/>
      <c r="D4" s="97"/>
      <c r="E4" s="97"/>
      <c r="F4" s="97"/>
      <c r="G4" s="98"/>
      <c r="H4" s="92" t="s">
        <v>2262</v>
      </c>
      <c r="I4" s="93"/>
      <c r="J4" s="93"/>
      <c r="K4" s="93"/>
      <c r="L4" s="93"/>
      <c r="M4" s="94"/>
      <c r="N4" s="99" t="s">
        <v>2263</v>
      </c>
      <c r="O4" s="93"/>
      <c r="P4" s="93"/>
      <c r="Q4" s="94"/>
      <c r="R4" s="95"/>
    </row>
    <row r="5">
      <c r="A5" s="90"/>
      <c r="B5" s="100" t="s">
        <v>2264</v>
      </c>
      <c r="C5" s="100" t="s">
        <v>2265</v>
      </c>
      <c r="D5" s="100" t="s">
        <v>2266</v>
      </c>
      <c r="E5" s="100" t="s">
        <v>2267</v>
      </c>
      <c r="F5" s="100" t="s">
        <v>2268</v>
      </c>
      <c r="G5" s="100" t="s">
        <v>2269</v>
      </c>
      <c r="H5" s="100" t="s">
        <v>2270</v>
      </c>
      <c r="I5" s="100" t="s">
        <v>2266</v>
      </c>
      <c r="J5" s="100" t="s">
        <v>2268</v>
      </c>
      <c r="K5" s="100" t="s">
        <v>2271</v>
      </c>
      <c r="L5" s="100" t="s">
        <v>2272</v>
      </c>
      <c r="M5" s="100" t="s">
        <v>2273</v>
      </c>
      <c r="N5" s="100" t="s">
        <v>2274</v>
      </c>
      <c r="O5" s="100" t="s">
        <v>2270</v>
      </c>
      <c r="P5" s="100" t="s">
        <v>2266</v>
      </c>
      <c r="Q5" s="100" t="s">
        <v>2268</v>
      </c>
      <c r="R5" s="95"/>
    </row>
    <row r="6">
      <c r="A6" s="95"/>
      <c r="B6" s="101" t="str">
        <f>IFERROR(__xludf.DUMMYFUNCTION("IMPORTRANGE('Referências'!$B$6,""2º ETA!B6:q21"")"),"AERONAVES DISPONÍVEIS")</f>
        <v>AERONAVES DISPONÍVEIS</v>
      </c>
      <c r="R6" s="95"/>
    </row>
    <row r="7">
      <c r="A7" s="95"/>
      <c r="B7" s="102" t="str">
        <f>IFERROR(__xludf.DUMMYFUNCTION("""COMPUTED_VALUE"""),"C-97 2020")</f>
        <v>C-97 2020</v>
      </c>
      <c r="C7" s="103" t="str">
        <f>IFERROR(__xludf.DUMMYFUNCTION("""COMPUTED_VALUE"""),"DI")</f>
        <v>DI</v>
      </c>
      <c r="D7" s="102"/>
      <c r="E7" s="104"/>
      <c r="F7" s="102"/>
      <c r="G7" s="105">
        <f>IFERROR(__xludf.DUMMYFUNCTION("""COMPUTED_VALUE"""),0.84375)</f>
        <v>0.84375</v>
      </c>
      <c r="H7" s="104" t="str">
        <f>IFERROR(__xludf.DUMMYFUNCTION("""COMPUTED_VALUE"""),"2 L / HSI M1 / MODERNIZAÇÃO ANV")</f>
        <v>2 L / HSI M1 / MODERNIZAÇÃO ANV</v>
      </c>
      <c r="I7" s="106">
        <f>IFERROR(__xludf.DUMMYFUNCTION("""COMPUTED_VALUE"""),46202.0)</f>
        <v>46202</v>
      </c>
      <c r="J7" s="107">
        <f>IFERROR(__xludf.DUMMYFUNCTION("""COMPUTED_VALUE"""),46361.0)</f>
        <v>46361</v>
      </c>
      <c r="K7" s="108">
        <f>IFERROR(__xludf.DUMMYFUNCTION("""COMPUTED_VALUE"""),0.8715277777773736)</f>
        <v>0.8715277778</v>
      </c>
      <c r="L7" s="108">
        <f>IFERROR(__xludf.DUMMYFUNCTION("""COMPUTED_VALUE"""),0.84375)</f>
        <v>0.84375</v>
      </c>
      <c r="M7" s="108" t="str">
        <f>IFERROR(__xludf.DUMMYFUNCTION("""COMPUTED_VALUE"""),"227:05")</f>
        <v>227:05</v>
      </c>
      <c r="N7" s="107">
        <f>IFERROR(__xludf.DUMMYFUNCTION("""COMPUTED_VALUE"""),46324.0)</f>
        <v>46324</v>
      </c>
      <c r="O7" s="109" t="str">
        <f>IFERROR(__xludf.DUMMYFUNCTION("""COMPUTED_VALUE"""),"Y")</f>
        <v>Y</v>
      </c>
      <c r="P7" s="107">
        <f>IFERROR(__xludf.DUMMYFUNCTION("""COMPUTED_VALUE"""),46329.0)</f>
        <v>46329</v>
      </c>
      <c r="Q7" s="107">
        <f>IFERROR(__xludf.DUMMYFUNCTION("""COMPUTED_VALUE"""),46346.0)</f>
        <v>46346</v>
      </c>
      <c r="R7" s="95"/>
    </row>
    <row r="8">
      <c r="A8" s="95"/>
      <c r="B8" s="102" t="str">
        <f>IFERROR(__xludf.DUMMYFUNCTION("""COMPUTED_VALUE"""),"C-95 2303")</f>
        <v>C-95 2303</v>
      </c>
      <c r="C8" s="103" t="str">
        <f>IFERROR(__xludf.DUMMYFUNCTION("""COMPUTED_VALUE"""),"DO")</f>
        <v>DO</v>
      </c>
      <c r="D8" s="103">
        <f>IFERROR(__xludf.DUMMYFUNCTION("""COMPUTED_VALUE"""),46196.0)</f>
        <v>46196</v>
      </c>
      <c r="E8" s="104" t="str">
        <f>IFERROR(__xludf.DUMMYFUNCTION("""COMPUTED_VALUE"""),"ANV SEM P.A.")</f>
        <v>ANV SEM P.A.</v>
      </c>
      <c r="F8" s="103">
        <f>IFERROR(__xludf.DUMMYFUNCTION("""COMPUTED_VALUE"""),46202.0)</f>
        <v>46202</v>
      </c>
      <c r="G8" s="105">
        <f>IFERROR(__xludf.DUMMYFUNCTION("""COMPUTED_VALUE"""),2.5798611111094942)</f>
        <v>2.579861111</v>
      </c>
      <c r="H8" s="104" t="str">
        <f>IFERROR(__xludf.DUMMYFUNCTION("""COMPUTED_VALUE"""),"4-2S / 150FH / 750FH")</f>
        <v>4-2S / 150FH / 750FH</v>
      </c>
      <c r="I8" s="106">
        <f>IFERROR(__xludf.DUMMYFUNCTION("""COMPUTED_VALUE"""),46223.0)</f>
        <v>46223</v>
      </c>
      <c r="J8" s="107">
        <f>IFERROR(__xludf.DUMMYFUNCTION("""COMPUTED_VALUE"""),46262.0)</f>
        <v>46262</v>
      </c>
      <c r="K8" s="108">
        <f>IFERROR(__xludf.DUMMYFUNCTION("""COMPUTED_VALUE"""),3.211805555554747)</f>
        <v>3.211805556</v>
      </c>
      <c r="L8" s="108">
        <f>IFERROR(__xludf.DUMMYFUNCTION("""COMPUTED_VALUE"""),2.5798611111094942)</f>
        <v>2.579861111</v>
      </c>
      <c r="M8" s="108" t="str">
        <f>IFERROR(__xludf.DUMMYFUNCTION("""COMPUTED_VALUE"""),"61:55")</f>
        <v>61:55</v>
      </c>
      <c r="N8" s="107">
        <f>IFERROR(__xludf.DUMMYFUNCTION("""COMPUTED_VALUE"""),46389.0)</f>
        <v>46389</v>
      </c>
      <c r="O8" s="109" t="str">
        <f>IFERROR(__xludf.DUMMYFUNCTION("""COMPUTED_VALUE"""),"9M")</f>
        <v>9M</v>
      </c>
      <c r="P8" s="107">
        <f>IFERROR(__xludf.DUMMYFUNCTION("""COMPUTED_VALUE"""),46405.0)</f>
        <v>46405</v>
      </c>
      <c r="Q8" s="107">
        <f>IFERROR(__xludf.DUMMYFUNCTION("""COMPUTED_VALUE"""),46416.0)</f>
        <v>46416</v>
      </c>
      <c r="R8" s="95"/>
    </row>
    <row r="9">
      <c r="A9" s="95"/>
      <c r="B9" s="102" t="str">
        <f>IFERROR(__xludf.DUMMYFUNCTION("""COMPUTED_VALUE"""),"C-98 2722")</f>
        <v>C-98 2722</v>
      </c>
      <c r="C9" s="103" t="str">
        <f>IFERROR(__xludf.DUMMYFUNCTION("""COMPUTED_VALUE"""),"DI")</f>
        <v>DI</v>
      </c>
      <c r="D9" s="102"/>
      <c r="E9" s="104"/>
      <c r="F9" s="102"/>
      <c r="G9" s="105">
        <f>IFERROR(__xludf.DUMMYFUNCTION("""COMPUTED_VALUE"""),3.4375)</f>
        <v>3.4375</v>
      </c>
      <c r="H9" s="104" t="str">
        <f>IFERROR(__xludf.DUMMYFUNCTION("""COMPUTED_VALUE"""),"ID 0A,07 / 4100 FH ")</f>
        <v>ID 0A,07 / 4100 FH </v>
      </c>
      <c r="I9" s="106">
        <f>IFERROR(__xludf.DUMMYFUNCTION("""COMPUTED_VALUE"""),46230.0)</f>
        <v>46230</v>
      </c>
      <c r="J9" s="107">
        <f>IFERROR(__xludf.DUMMYFUNCTION("""COMPUTED_VALUE"""),46238.0)</f>
        <v>46238</v>
      </c>
      <c r="K9" s="108">
        <f>IFERROR(__xludf.DUMMYFUNCTION("""COMPUTED_VALUE"""),3.4375)</f>
        <v>3.4375</v>
      </c>
      <c r="L9" s="108">
        <f>IFERROR(__xludf.DUMMYFUNCTION("""COMPUTED_VALUE"""),3.8402777777773736)</f>
        <v>3.840277778</v>
      </c>
      <c r="M9" s="108" t="str">
        <f>IFERROR(__xludf.DUMMYFUNCTION("""COMPUTED_VALUE"""),"-")</f>
        <v>-</v>
      </c>
      <c r="N9" s="107">
        <f>IFERROR(__xludf.DUMMYFUNCTION("""COMPUTED_VALUE"""),46324.0)</f>
        <v>46324</v>
      </c>
      <c r="O9" s="109" t="str">
        <f>IFERROR(__xludf.DUMMYFUNCTION("""COMPUTED_VALUE"""),"COR 60 M")</f>
        <v>COR 60 M</v>
      </c>
      <c r="P9" s="107">
        <f>IFERROR(__xludf.DUMMYFUNCTION("""COMPUTED_VALUE"""),46329.0)</f>
        <v>46329</v>
      </c>
      <c r="Q9" s="107">
        <f>IFERROR(__xludf.DUMMYFUNCTION("""COMPUTED_VALUE"""),46343.0)</f>
        <v>46343</v>
      </c>
      <c r="R9" s="95"/>
    </row>
    <row r="10">
      <c r="A10" s="95"/>
      <c r="B10" s="102"/>
      <c r="C10" s="102"/>
      <c r="D10" s="102"/>
      <c r="E10" s="104"/>
      <c r="F10" s="102"/>
      <c r="G10" s="102"/>
      <c r="H10" s="104"/>
      <c r="I10" s="110"/>
      <c r="J10" s="109"/>
      <c r="K10" s="109"/>
      <c r="L10" s="109"/>
      <c r="M10" s="109"/>
      <c r="N10" s="109"/>
      <c r="O10" s="109"/>
      <c r="P10" s="109"/>
      <c r="Q10" s="109"/>
      <c r="R10" s="95"/>
    </row>
    <row r="11">
      <c r="A11" s="95"/>
      <c r="B11" s="102"/>
      <c r="C11" s="102"/>
      <c r="D11" s="102"/>
      <c r="E11" s="104"/>
      <c r="F11" s="102"/>
      <c r="G11" s="102"/>
      <c r="H11" s="104"/>
      <c r="I11" s="110"/>
      <c r="J11" s="109"/>
      <c r="K11" s="109"/>
      <c r="L11" s="109"/>
      <c r="M11" s="109"/>
      <c r="N11" s="109"/>
      <c r="O11" s="109"/>
      <c r="P11" s="109"/>
      <c r="Q11" s="109"/>
      <c r="R11" s="95"/>
    </row>
    <row r="12">
      <c r="A12" s="95"/>
      <c r="B12" s="102"/>
      <c r="C12" s="102"/>
      <c r="D12" s="102"/>
      <c r="E12" s="104"/>
      <c r="F12" s="102"/>
      <c r="G12" s="102"/>
      <c r="H12" s="104"/>
      <c r="I12" s="110"/>
      <c r="J12" s="109"/>
      <c r="K12" s="109"/>
      <c r="L12" s="109"/>
      <c r="M12" s="109"/>
      <c r="N12" s="109"/>
      <c r="O12" s="109"/>
      <c r="P12" s="109"/>
      <c r="Q12" s="109"/>
      <c r="R12" s="95"/>
    </row>
    <row r="13">
      <c r="A13" s="95"/>
      <c r="B13" s="102"/>
      <c r="C13" s="102"/>
      <c r="D13" s="102"/>
      <c r="E13" s="104"/>
      <c r="F13" s="102"/>
      <c r="G13" s="102"/>
      <c r="H13" s="104"/>
      <c r="I13" s="110"/>
      <c r="J13" s="109"/>
      <c r="K13" s="109"/>
      <c r="L13" s="109"/>
      <c r="M13" s="109"/>
      <c r="N13" s="109"/>
      <c r="O13" s="109"/>
      <c r="P13" s="109"/>
      <c r="Q13" s="109"/>
      <c r="R13" s="95"/>
    </row>
    <row r="14">
      <c r="A14" s="95"/>
      <c r="B14" s="111" t="str">
        <f>IFERROR(__xludf.DUMMYFUNCTION("""COMPUTED_VALUE"""),"AERONAVES INDISPONÍVEIS")</f>
        <v>AERONAVES INDISPONÍVEIS</v>
      </c>
      <c r="R14" s="95"/>
    </row>
    <row r="15">
      <c r="A15" s="95"/>
      <c r="B15" s="102" t="str">
        <f>IFERROR(__xludf.DUMMYFUNCTION("""COMPUTED_VALUE"""),"C-98 2719")</f>
        <v>C-98 2719</v>
      </c>
      <c r="C15" s="112" t="str">
        <f>IFERROR(__xludf.DUMMYFUNCTION("""COMPUTED_VALUE"""),"II")</f>
        <v>II</v>
      </c>
      <c r="D15" s="113">
        <f>IFERROR(__xludf.DUMMYFUNCTION("""COMPUTED_VALUE"""),46169.0)</f>
        <v>46169</v>
      </c>
      <c r="E15" s="114" t="str">
        <f>IFERROR(__xludf.DUMMYFUNCTION("""COMPUTED_VALUE"""),"ID 0A,15,20,MG / 4300 FH / HSI")</f>
        <v>ID 0A,15,20,MG / 4300 FH / HSI</v>
      </c>
      <c r="F15" s="115">
        <f>IFERROR(__xludf.DUMMYFUNCTION("""COMPUTED_VALUE"""),46202.0)</f>
        <v>46202</v>
      </c>
      <c r="G15" s="116">
        <f>IFERROR(__xludf.DUMMYFUNCTION("""COMPUTED_VALUE"""),4.166666666667879)</f>
        <v>4.166666667</v>
      </c>
      <c r="H15" s="117" t="str">
        <f>IFERROR(__xludf.DUMMYFUNCTION("""COMPUTED_VALUE"""),"ID 06,07,08,09 / 4400 FH")</f>
        <v>ID 06,07,08,09 / 4400 FH</v>
      </c>
      <c r="I15" s="106">
        <f>IFERROR(__xludf.DUMMYFUNCTION("""COMPUTED_VALUE"""),46237.0)</f>
        <v>46237</v>
      </c>
      <c r="J15" s="107">
        <f>IFERROR(__xludf.DUMMYFUNCTION("""COMPUTED_VALUE"""),46245.0)</f>
        <v>46245</v>
      </c>
      <c r="K15" s="108">
        <f>IFERROR(__xludf.DUMMYFUNCTION("""COMPUTED_VALUE"""),4.166666666667879)</f>
        <v>4.166666667</v>
      </c>
      <c r="L15" s="108">
        <f>IFERROR(__xludf.DUMMYFUNCTION("""COMPUTED_VALUE"""),4.166666666667879)</f>
        <v>4.166666667</v>
      </c>
      <c r="M15" s="108" t="str">
        <f>IFERROR(__xludf.DUMMYFUNCTION("""COMPUTED_VALUE"""),"-")</f>
        <v>-</v>
      </c>
      <c r="N15" s="107">
        <f>IFERROR(__xludf.DUMMYFUNCTION("""COMPUTED_VALUE"""),46376.0)</f>
        <v>46376</v>
      </c>
      <c r="O15" s="109" t="str">
        <f>IFERROR(__xludf.DUMMYFUNCTION("""COMPUTED_VALUE"""),"COR 60 M")</f>
        <v>COR 60 M</v>
      </c>
      <c r="P15" s="107">
        <f>IFERROR(__xludf.DUMMYFUNCTION("""COMPUTED_VALUE"""),46356.0)</f>
        <v>46356</v>
      </c>
      <c r="Q15" s="107">
        <f>IFERROR(__xludf.DUMMYFUNCTION("""COMPUTED_VALUE"""),46371.0)</f>
        <v>46371</v>
      </c>
      <c r="R15" s="95"/>
    </row>
    <row r="16">
      <c r="A16" s="95"/>
      <c r="B16" s="102"/>
      <c r="C16" s="112"/>
      <c r="D16" s="112"/>
      <c r="E16" s="114"/>
      <c r="F16" s="118"/>
      <c r="G16" s="118"/>
      <c r="H16" s="117"/>
      <c r="I16" s="110"/>
      <c r="J16" s="109"/>
      <c r="K16" s="109"/>
      <c r="L16" s="109"/>
      <c r="M16" s="109"/>
      <c r="N16" s="109"/>
      <c r="O16" s="109"/>
      <c r="P16" s="109"/>
      <c r="Q16" s="109"/>
      <c r="R16" s="95"/>
    </row>
    <row r="17">
      <c r="A17" s="95"/>
      <c r="B17" s="102"/>
      <c r="C17" s="112"/>
      <c r="D17" s="112"/>
      <c r="E17" s="114"/>
      <c r="F17" s="118"/>
      <c r="G17" s="118"/>
      <c r="H17" s="117"/>
      <c r="I17" s="110"/>
      <c r="J17" s="109"/>
      <c r="K17" s="109"/>
      <c r="L17" s="109"/>
      <c r="M17" s="109"/>
      <c r="N17" s="109"/>
      <c r="O17" s="109"/>
      <c r="P17" s="109"/>
      <c r="Q17" s="109"/>
      <c r="R17" s="95"/>
    </row>
    <row r="18">
      <c r="A18" s="95"/>
      <c r="B18" s="102"/>
      <c r="C18" s="112"/>
      <c r="D18" s="112"/>
      <c r="E18" s="114"/>
      <c r="F18" s="118"/>
      <c r="G18" s="118"/>
      <c r="H18" s="117"/>
      <c r="I18" s="110"/>
      <c r="J18" s="109"/>
      <c r="K18" s="109"/>
      <c r="L18" s="109"/>
      <c r="M18" s="109"/>
      <c r="N18" s="109"/>
      <c r="O18" s="109"/>
      <c r="P18" s="109"/>
      <c r="Q18" s="109"/>
      <c r="R18" s="95"/>
    </row>
    <row r="19">
      <c r="A19" s="95"/>
      <c r="B19" s="119"/>
      <c r="C19" s="120"/>
      <c r="D19" s="120"/>
      <c r="E19" s="114"/>
      <c r="F19" s="109"/>
      <c r="G19" s="109"/>
      <c r="H19" s="117"/>
      <c r="I19" s="110"/>
      <c r="J19" s="109"/>
      <c r="K19" s="109"/>
      <c r="L19" s="109"/>
      <c r="M19" s="109"/>
      <c r="N19" s="109"/>
      <c r="O19" s="109"/>
      <c r="P19" s="109"/>
      <c r="Q19" s="109"/>
      <c r="R19" s="95"/>
    </row>
    <row r="20">
      <c r="A20" s="95"/>
      <c r="B20" s="119"/>
      <c r="C20" s="120"/>
      <c r="D20" s="120"/>
      <c r="E20" s="114"/>
      <c r="F20" s="109"/>
      <c r="G20" s="109"/>
      <c r="H20" s="117"/>
      <c r="I20" s="110"/>
      <c r="J20" s="109"/>
      <c r="K20" s="109"/>
      <c r="L20" s="109"/>
      <c r="M20" s="109"/>
      <c r="N20" s="109"/>
      <c r="O20" s="109"/>
      <c r="P20" s="109"/>
      <c r="Q20" s="109"/>
      <c r="R20" s="95"/>
    </row>
    <row r="21">
      <c r="A21" s="95"/>
      <c r="B21" s="119"/>
      <c r="C21" s="120"/>
      <c r="D21" s="120"/>
      <c r="E21" s="114"/>
      <c r="F21" s="109"/>
      <c r="G21" s="109"/>
      <c r="H21" s="117"/>
      <c r="I21" s="110"/>
      <c r="J21" s="109"/>
      <c r="K21" s="109"/>
      <c r="L21" s="109"/>
      <c r="M21" s="109"/>
      <c r="N21" s="109"/>
      <c r="O21" s="109"/>
      <c r="P21" s="109"/>
      <c r="Q21" s="109"/>
      <c r="R21" s="95"/>
    </row>
    <row r="22">
      <c r="A22" s="81"/>
      <c r="B22" s="89"/>
      <c r="I22" s="81"/>
      <c r="J22" s="81"/>
      <c r="K22" s="81"/>
      <c r="L22" s="81"/>
      <c r="M22" s="81"/>
      <c r="N22" s="81"/>
      <c r="O22" s="81"/>
      <c r="P22" s="81"/>
      <c r="Q22" s="81"/>
      <c r="R22" s="81"/>
    </row>
  </sheetData>
  <mergeCells count="9">
    <mergeCell ref="B14:Q14"/>
    <mergeCell ref="B22:H22"/>
    <mergeCell ref="C1:P1"/>
    <mergeCell ref="B2:H2"/>
    <mergeCell ref="B3:G4"/>
    <mergeCell ref="H3:Q3"/>
    <mergeCell ref="H4:M4"/>
    <mergeCell ref="N4:Q4"/>
    <mergeCell ref="B6:Q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37" width="3.25"/>
  </cols>
  <sheetData>
    <row r="1">
      <c r="A1" s="74"/>
      <c r="B1" s="121">
        <v>1.0</v>
      </c>
      <c r="C1" s="121">
        <v>2.0</v>
      </c>
      <c r="D1" s="121">
        <v>3.0</v>
      </c>
      <c r="E1" s="121">
        <v>4.0</v>
      </c>
      <c r="F1" s="121">
        <v>5.0</v>
      </c>
      <c r="G1" s="121">
        <v>6.0</v>
      </c>
      <c r="H1" s="121">
        <v>7.0</v>
      </c>
      <c r="I1" s="121">
        <v>8.0</v>
      </c>
      <c r="J1" s="121">
        <v>9.0</v>
      </c>
      <c r="K1" s="121">
        <v>10.0</v>
      </c>
      <c r="L1" s="121">
        <v>11.0</v>
      </c>
      <c r="M1" s="121">
        <v>12.0</v>
      </c>
      <c r="N1" s="121">
        <v>13.0</v>
      </c>
      <c r="O1" s="121">
        <v>14.0</v>
      </c>
      <c r="P1" s="121">
        <v>15.0</v>
      </c>
      <c r="Q1" s="121">
        <v>16.0</v>
      </c>
      <c r="R1" s="121">
        <v>17.0</v>
      </c>
      <c r="S1" s="121">
        <v>18.0</v>
      </c>
      <c r="T1" s="121">
        <v>19.0</v>
      </c>
      <c r="U1" s="121">
        <v>20.0</v>
      </c>
      <c r="V1" s="121">
        <v>21.0</v>
      </c>
      <c r="W1" s="121">
        <v>22.0</v>
      </c>
      <c r="X1" s="121">
        <v>23.0</v>
      </c>
      <c r="Y1" s="121">
        <v>24.0</v>
      </c>
      <c r="Z1" s="121">
        <v>25.0</v>
      </c>
      <c r="AA1" s="121">
        <v>26.0</v>
      </c>
      <c r="AB1" s="121">
        <v>27.0</v>
      </c>
      <c r="AC1" s="121">
        <v>28.0</v>
      </c>
      <c r="AD1" s="121">
        <v>29.0</v>
      </c>
      <c r="AE1" s="121">
        <v>30.0</v>
      </c>
      <c r="AF1" s="121">
        <v>31.0</v>
      </c>
      <c r="AG1" s="121">
        <v>32.0</v>
      </c>
      <c r="AH1" s="121">
        <v>33.0</v>
      </c>
      <c r="AI1" s="121">
        <v>34.0</v>
      </c>
      <c r="AJ1" s="121">
        <v>35.0</v>
      </c>
      <c r="AK1" s="74"/>
    </row>
    <row r="2">
      <c r="A2" s="74"/>
      <c r="B2" s="28" t="s">
        <v>30</v>
      </c>
      <c r="C2" s="30"/>
      <c r="D2" s="30"/>
      <c r="E2" s="31" t="s">
        <v>2275</v>
      </c>
      <c r="F2" s="30"/>
      <c r="G2" s="30"/>
      <c r="H2" s="31" t="s">
        <v>2276</v>
      </c>
      <c r="I2" s="30"/>
      <c r="J2" s="30"/>
      <c r="K2" s="31" t="s">
        <v>2277</v>
      </c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1" t="s">
        <v>39</v>
      </c>
      <c r="AF2" s="30"/>
      <c r="AG2" s="30"/>
      <c r="AH2" s="30"/>
      <c r="AI2" s="30"/>
      <c r="AJ2" s="34"/>
      <c r="AK2" s="122"/>
    </row>
    <row r="3">
      <c r="A3" s="74"/>
      <c r="B3" s="36" t="s">
        <v>2278</v>
      </c>
      <c r="E3" s="123">
        <v>45432.0</v>
      </c>
      <c r="H3" s="123">
        <v>45597.0</v>
      </c>
      <c r="K3" s="124" t="s">
        <v>2279</v>
      </c>
      <c r="AE3" s="125" t="str">
        <f t="shared" ref="AE3:AE100" si="1">IF(E3="","",
IF(H3&lt;TODAY(),"FINALIZADO",
IF(AND(H3&gt;=TODAY(),TODAY()&gt;=E3),"VÁLIDO",
IF(TODAY()&lt;E3,"PREVISTO",""))))</f>
        <v>FINALIZADO</v>
      </c>
      <c r="AJ3" s="45"/>
      <c r="AK3" s="122"/>
    </row>
    <row r="4">
      <c r="A4" s="74"/>
      <c r="B4" s="36" t="s">
        <v>2278</v>
      </c>
      <c r="E4" s="123">
        <v>45474.0</v>
      </c>
      <c r="H4" s="123">
        <v>45657.0</v>
      </c>
      <c r="K4" s="124" t="s">
        <v>2280</v>
      </c>
      <c r="AE4" s="125" t="str">
        <f t="shared" si="1"/>
        <v>FINALIZADO</v>
      </c>
      <c r="AJ4" s="45"/>
      <c r="AK4" s="122"/>
    </row>
    <row r="5">
      <c r="A5" s="74"/>
      <c r="B5" s="36" t="s">
        <v>2281</v>
      </c>
      <c r="E5" s="123">
        <v>45502.0</v>
      </c>
      <c r="H5" s="123">
        <v>45555.0</v>
      </c>
      <c r="K5" s="124" t="s">
        <v>2282</v>
      </c>
      <c r="AE5" s="125" t="str">
        <f t="shared" si="1"/>
        <v>FINALIZADO</v>
      </c>
      <c r="AJ5" s="45"/>
      <c r="AK5" s="122"/>
    </row>
    <row r="6">
      <c r="A6" s="74"/>
      <c r="B6" s="36" t="s">
        <v>2281</v>
      </c>
      <c r="E6" s="123">
        <v>45533.0</v>
      </c>
      <c r="H6" s="123">
        <v>45551.0</v>
      </c>
      <c r="K6" s="124" t="s">
        <v>2283</v>
      </c>
      <c r="AE6" s="125" t="str">
        <f t="shared" si="1"/>
        <v>FINALIZADO</v>
      </c>
      <c r="AJ6" s="45"/>
      <c r="AK6" s="122"/>
    </row>
    <row r="7">
      <c r="A7" s="74"/>
      <c r="B7" s="36" t="s">
        <v>2278</v>
      </c>
      <c r="E7" s="123">
        <v>45531.0</v>
      </c>
      <c r="H7" s="123">
        <v>45535.0</v>
      </c>
      <c r="K7" s="124" t="s">
        <v>2284</v>
      </c>
      <c r="AE7" s="125" t="str">
        <f t="shared" si="1"/>
        <v>FINALIZADO</v>
      </c>
      <c r="AJ7" s="45"/>
      <c r="AK7" s="122"/>
    </row>
    <row r="8">
      <c r="A8" s="74"/>
      <c r="B8" s="36" t="s">
        <v>2278</v>
      </c>
      <c r="E8" s="123">
        <v>45541.0</v>
      </c>
      <c r="H8" s="123">
        <v>45544.0</v>
      </c>
      <c r="K8" s="124" t="s">
        <v>2285</v>
      </c>
      <c r="AE8" s="125" t="str">
        <f t="shared" si="1"/>
        <v>FINALIZADO</v>
      </c>
      <c r="AJ8" s="45"/>
      <c r="AK8" s="122"/>
    </row>
    <row r="9">
      <c r="A9" s="74"/>
      <c r="B9" s="36" t="s">
        <v>2281</v>
      </c>
      <c r="E9" s="123">
        <v>45572.0</v>
      </c>
      <c r="H9" s="123">
        <v>45575.0</v>
      </c>
      <c r="K9" s="124" t="s">
        <v>2286</v>
      </c>
      <c r="AE9" s="125" t="str">
        <f t="shared" si="1"/>
        <v>FINALIZADO</v>
      </c>
      <c r="AJ9" s="45"/>
      <c r="AK9" s="122"/>
    </row>
    <row r="10">
      <c r="A10" s="74"/>
      <c r="B10" s="36" t="s">
        <v>2278</v>
      </c>
      <c r="E10" s="123">
        <v>45534.0</v>
      </c>
      <c r="H10" s="123">
        <v>45550.0</v>
      </c>
      <c r="K10" s="124" t="s">
        <v>2287</v>
      </c>
      <c r="AE10" s="125" t="str">
        <f t="shared" si="1"/>
        <v>FINALIZADO</v>
      </c>
      <c r="AJ10" s="45"/>
      <c r="AK10" s="122"/>
    </row>
    <row r="11">
      <c r="A11" s="74"/>
      <c r="B11" s="36" t="s">
        <v>2281</v>
      </c>
      <c r="E11" s="123">
        <v>45561.0</v>
      </c>
      <c r="H11" s="123">
        <v>45592.0</v>
      </c>
      <c r="K11" s="124" t="s">
        <v>2288</v>
      </c>
      <c r="AE11" s="125" t="str">
        <f t="shared" si="1"/>
        <v>FINALIZADO</v>
      </c>
      <c r="AJ11" s="45"/>
      <c r="AK11" s="122"/>
    </row>
    <row r="12">
      <c r="A12" s="74"/>
      <c r="B12" s="36" t="s">
        <v>2281</v>
      </c>
      <c r="E12" s="123">
        <v>45616.0</v>
      </c>
      <c r="H12" s="123">
        <v>45648.0</v>
      </c>
      <c r="K12" s="124" t="s">
        <v>2286</v>
      </c>
      <c r="AE12" s="125" t="str">
        <f t="shared" si="1"/>
        <v>FINALIZADO</v>
      </c>
      <c r="AJ12" s="45"/>
      <c r="AK12" s="122"/>
    </row>
    <row r="13">
      <c r="A13" s="74"/>
      <c r="B13" s="36" t="s">
        <v>2281</v>
      </c>
      <c r="E13" s="123">
        <v>45588.0</v>
      </c>
      <c r="H13" s="123">
        <v>45618.0</v>
      </c>
      <c r="K13" s="124" t="s">
        <v>2289</v>
      </c>
      <c r="AE13" s="125" t="str">
        <f t="shared" si="1"/>
        <v>FINALIZADO</v>
      </c>
      <c r="AJ13" s="45"/>
      <c r="AK13" s="122"/>
    </row>
    <row r="14">
      <c r="A14" s="74"/>
      <c r="B14" s="36" t="s">
        <v>2278</v>
      </c>
      <c r="E14" s="123">
        <v>45643.0</v>
      </c>
      <c r="H14" s="123">
        <v>45662.0</v>
      </c>
      <c r="K14" s="124" t="s">
        <v>2290</v>
      </c>
      <c r="AE14" s="125" t="str">
        <f t="shared" si="1"/>
        <v>FINALIZADO</v>
      </c>
      <c r="AJ14" s="45"/>
      <c r="AK14" s="122"/>
    </row>
    <row r="15">
      <c r="A15" s="74"/>
      <c r="B15" s="36" t="s">
        <v>2278</v>
      </c>
      <c r="E15" s="123">
        <v>45678.0</v>
      </c>
      <c r="H15" s="123">
        <v>45679.0</v>
      </c>
      <c r="K15" s="124" t="s">
        <v>2291</v>
      </c>
      <c r="AE15" s="125" t="str">
        <f t="shared" si="1"/>
        <v>FINALIZADO</v>
      </c>
      <c r="AJ15" s="45"/>
      <c r="AK15" s="122"/>
    </row>
    <row r="16">
      <c r="A16" s="74"/>
      <c r="B16" s="36" t="s">
        <v>2278</v>
      </c>
      <c r="E16" s="123">
        <v>45663.0</v>
      </c>
      <c r="H16" s="123">
        <v>45719.0</v>
      </c>
      <c r="K16" s="124" t="s">
        <v>2292</v>
      </c>
      <c r="AE16" s="125" t="str">
        <f t="shared" si="1"/>
        <v>FINALIZADO</v>
      </c>
      <c r="AJ16" s="45"/>
      <c r="AK16" s="122"/>
    </row>
    <row r="17">
      <c r="A17" s="74"/>
      <c r="B17" s="36" t="s">
        <v>2278</v>
      </c>
      <c r="E17" s="123">
        <v>45686.0</v>
      </c>
      <c r="H17" s="123">
        <v>45698.0</v>
      </c>
      <c r="K17" s="124" t="s">
        <v>2293</v>
      </c>
      <c r="AE17" s="125" t="str">
        <f t="shared" si="1"/>
        <v>FINALIZADO</v>
      </c>
      <c r="AJ17" s="45"/>
      <c r="AK17" s="122"/>
    </row>
    <row r="18">
      <c r="A18" s="74"/>
      <c r="B18" s="36" t="s">
        <v>2278</v>
      </c>
      <c r="E18" s="123">
        <v>45711.0</v>
      </c>
      <c r="H18" s="123">
        <v>45711.0</v>
      </c>
      <c r="K18" s="124" t="s">
        <v>2294</v>
      </c>
      <c r="AE18" s="125" t="str">
        <f t="shared" si="1"/>
        <v>FINALIZADO</v>
      </c>
      <c r="AJ18" s="45"/>
      <c r="AK18" s="122"/>
    </row>
    <row r="19">
      <c r="A19" s="74"/>
      <c r="B19" s="36" t="s">
        <v>2278</v>
      </c>
      <c r="E19" s="123">
        <v>45733.0</v>
      </c>
      <c r="H19" s="123">
        <v>45930.0</v>
      </c>
      <c r="K19" s="124" t="s">
        <v>2295</v>
      </c>
      <c r="AE19" s="125" t="str">
        <f t="shared" si="1"/>
        <v>FINALIZADO</v>
      </c>
      <c r="AJ19" s="45"/>
      <c r="AK19" s="122"/>
    </row>
    <row r="20">
      <c r="A20" s="74"/>
      <c r="B20" s="36" t="s">
        <v>2278</v>
      </c>
      <c r="E20" s="123">
        <v>45735.0</v>
      </c>
      <c r="H20" s="123">
        <v>45737.0</v>
      </c>
      <c r="K20" s="124" t="s">
        <v>2296</v>
      </c>
      <c r="AE20" s="125" t="str">
        <f t="shared" si="1"/>
        <v>FINALIZADO</v>
      </c>
      <c r="AJ20" s="45"/>
      <c r="AK20" s="122"/>
    </row>
    <row r="21">
      <c r="A21" s="74"/>
      <c r="B21" s="36" t="s">
        <v>2278</v>
      </c>
      <c r="E21" s="123">
        <v>45735.0</v>
      </c>
      <c r="H21" s="123">
        <v>45744.0</v>
      </c>
      <c r="K21" s="124" t="s">
        <v>2297</v>
      </c>
      <c r="AE21" s="125" t="str">
        <f t="shared" si="1"/>
        <v>FINALIZADO</v>
      </c>
      <c r="AJ21" s="45"/>
      <c r="AK21" s="122"/>
    </row>
    <row r="22">
      <c r="A22" s="74"/>
      <c r="B22" s="36" t="s">
        <v>2278</v>
      </c>
      <c r="E22" s="123">
        <v>45744.0</v>
      </c>
      <c r="H22" s="123">
        <v>45838.0</v>
      </c>
      <c r="K22" s="124" t="s">
        <v>2298</v>
      </c>
      <c r="AE22" s="125" t="str">
        <f t="shared" si="1"/>
        <v>FINALIZADO</v>
      </c>
      <c r="AJ22" s="45"/>
      <c r="AK22" s="122"/>
    </row>
    <row r="23">
      <c r="A23" s="74"/>
      <c r="B23" s="36" t="s">
        <v>2278</v>
      </c>
      <c r="E23" s="123">
        <v>45746.0</v>
      </c>
      <c r="H23" s="123">
        <v>45753.0</v>
      </c>
      <c r="K23" s="124" t="s">
        <v>2299</v>
      </c>
      <c r="AE23" s="125" t="str">
        <f t="shared" si="1"/>
        <v>FINALIZADO</v>
      </c>
      <c r="AJ23" s="45"/>
      <c r="AK23" s="122"/>
    </row>
    <row r="24">
      <c r="A24" s="74"/>
      <c r="B24" s="36" t="s">
        <v>2278</v>
      </c>
      <c r="E24" s="123">
        <v>45754.0</v>
      </c>
      <c r="H24" s="123">
        <v>45759.0</v>
      </c>
      <c r="K24" s="124" t="s">
        <v>2300</v>
      </c>
      <c r="AE24" s="125" t="str">
        <f t="shared" si="1"/>
        <v>FINALIZADO</v>
      </c>
      <c r="AJ24" s="45"/>
      <c r="AK24" s="122"/>
    </row>
    <row r="25">
      <c r="A25" s="74"/>
      <c r="B25" s="36" t="s">
        <v>2278</v>
      </c>
      <c r="E25" s="123">
        <v>45757.0</v>
      </c>
      <c r="H25" s="123">
        <v>45771.0</v>
      </c>
      <c r="K25" s="124" t="s">
        <v>2301</v>
      </c>
      <c r="AE25" s="125" t="str">
        <f t="shared" si="1"/>
        <v>FINALIZADO</v>
      </c>
      <c r="AJ25" s="45"/>
      <c r="AK25" s="122"/>
    </row>
    <row r="26">
      <c r="A26" s="74"/>
      <c r="B26" s="36" t="s">
        <v>2278</v>
      </c>
      <c r="E26" s="123">
        <v>45757.0</v>
      </c>
      <c r="H26" s="123">
        <v>45771.0</v>
      </c>
      <c r="K26" s="124" t="s">
        <v>2302</v>
      </c>
      <c r="AE26" s="125" t="str">
        <f t="shared" si="1"/>
        <v>FINALIZADO</v>
      </c>
      <c r="AJ26" s="45"/>
      <c r="AK26" s="122"/>
    </row>
    <row r="27">
      <c r="A27" s="74"/>
      <c r="B27" s="36" t="s">
        <v>2278</v>
      </c>
      <c r="E27" s="123">
        <v>45818.0</v>
      </c>
      <c r="H27" s="123">
        <v>45827.0</v>
      </c>
      <c r="K27" s="124" t="s">
        <v>2303</v>
      </c>
      <c r="AE27" s="125" t="str">
        <f t="shared" si="1"/>
        <v>FINALIZADO</v>
      </c>
      <c r="AJ27" s="45"/>
      <c r="AK27" s="122"/>
    </row>
    <row r="28">
      <c r="A28" s="74"/>
      <c r="B28" s="36" t="s">
        <v>2278</v>
      </c>
      <c r="E28" s="123">
        <v>45795.0</v>
      </c>
      <c r="H28" s="123">
        <v>45814.0</v>
      </c>
      <c r="K28" s="124" t="s">
        <v>2304</v>
      </c>
      <c r="AE28" s="125" t="str">
        <f t="shared" si="1"/>
        <v>FINALIZADO</v>
      </c>
      <c r="AJ28" s="45"/>
      <c r="AK28" s="122"/>
    </row>
    <row r="29">
      <c r="A29" s="74"/>
      <c r="B29" s="126" t="s">
        <v>2278</v>
      </c>
      <c r="E29" s="123">
        <v>45793.0</v>
      </c>
      <c r="H29" s="123">
        <v>45801.0</v>
      </c>
      <c r="K29" s="124" t="s">
        <v>2305</v>
      </c>
      <c r="AE29" s="125" t="str">
        <f t="shared" si="1"/>
        <v>FINALIZADO</v>
      </c>
      <c r="AJ29" s="45"/>
      <c r="AK29" s="122"/>
    </row>
    <row r="30">
      <c r="A30" s="74"/>
      <c r="B30" s="126" t="s">
        <v>2278</v>
      </c>
      <c r="E30" s="123">
        <v>45805.0</v>
      </c>
      <c r="H30" s="123">
        <v>45883.0</v>
      </c>
      <c r="K30" s="124" t="s">
        <v>2306</v>
      </c>
      <c r="AE30" s="125" t="str">
        <f t="shared" si="1"/>
        <v>FINALIZADO</v>
      </c>
      <c r="AJ30" s="45"/>
      <c r="AK30" s="122"/>
    </row>
    <row r="31">
      <c r="A31" s="74"/>
      <c r="B31" s="126" t="s">
        <v>2278</v>
      </c>
      <c r="E31" s="123">
        <v>45838.0</v>
      </c>
      <c r="H31" s="123">
        <v>45846.0</v>
      </c>
      <c r="K31" s="124" t="s">
        <v>2307</v>
      </c>
      <c r="AE31" s="125" t="str">
        <f t="shared" si="1"/>
        <v>FINALIZADO</v>
      </c>
      <c r="AJ31" s="45"/>
      <c r="AK31" s="122"/>
    </row>
    <row r="32">
      <c r="A32" s="74"/>
      <c r="B32" s="126" t="s">
        <v>2278</v>
      </c>
      <c r="E32" s="123">
        <v>45817.0</v>
      </c>
      <c r="H32" s="123">
        <v>45820.0</v>
      </c>
      <c r="K32" s="124" t="s">
        <v>2308</v>
      </c>
      <c r="AE32" s="125" t="str">
        <f t="shared" si="1"/>
        <v>FINALIZADO</v>
      </c>
      <c r="AJ32" s="45"/>
      <c r="AK32" s="122"/>
    </row>
    <row r="33">
      <c r="A33" s="74"/>
      <c r="B33" s="126" t="s">
        <v>2278</v>
      </c>
      <c r="E33" s="123">
        <v>45806.0</v>
      </c>
      <c r="H33" s="123">
        <v>45837.0</v>
      </c>
      <c r="K33" s="124" t="s">
        <v>2309</v>
      </c>
      <c r="AE33" s="125" t="str">
        <f t="shared" si="1"/>
        <v>FINALIZADO</v>
      </c>
      <c r="AJ33" s="45"/>
      <c r="AK33" s="122"/>
    </row>
    <row r="34">
      <c r="A34" s="74"/>
      <c r="B34" s="126" t="s">
        <v>2278</v>
      </c>
      <c r="E34" s="123">
        <v>45833.0</v>
      </c>
      <c r="H34" s="123">
        <v>45930.0</v>
      </c>
      <c r="K34" s="124" t="s">
        <v>2310</v>
      </c>
      <c r="AE34" s="125" t="str">
        <f t="shared" si="1"/>
        <v>FINALIZADO</v>
      </c>
      <c r="AJ34" s="45"/>
      <c r="AK34" s="122"/>
    </row>
    <row r="35">
      <c r="A35" s="74"/>
      <c r="B35" s="126" t="s">
        <v>2278</v>
      </c>
      <c r="E35" s="123">
        <v>45848.0</v>
      </c>
      <c r="H35" s="123">
        <v>45905.0</v>
      </c>
      <c r="K35" s="124" t="s">
        <v>2311</v>
      </c>
      <c r="AE35" s="125" t="str">
        <f t="shared" si="1"/>
        <v>FINALIZADO</v>
      </c>
      <c r="AJ35" s="45"/>
      <c r="AK35" s="122"/>
    </row>
    <row r="36">
      <c r="A36" s="74"/>
      <c r="B36" s="126" t="s">
        <v>2278</v>
      </c>
      <c r="E36" s="123">
        <v>45867.0</v>
      </c>
      <c r="H36" s="123">
        <v>45885.0</v>
      </c>
      <c r="K36" s="124" t="s">
        <v>2312</v>
      </c>
      <c r="AE36" s="125" t="str">
        <f t="shared" si="1"/>
        <v>FINALIZADO</v>
      </c>
      <c r="AJ36" s="45"/>
      <c r="AK36" s="122"/>
    </row>
    <row r="37">
      <c r="A37" s="74"/>
      <c r="B37" s="126" t="s">
        <v>2278</v>
      </c>
      <c r="E37" s="123">
        <v>45869.0</v>
      </c>
      <c r="H37" s="123">
        <v>45885.0</v>
      </c>
      <c r="K37" s="124" t="s">
        <v>2313</v>
      </c>
      <c r="AE37" s="125" t="str">
        <f t="shared" si="1"/>
        <v>FINALIZADO</v>
      </c>
      <c r="AJ37" s="45"/>
      <c r="AK37" s="122"/>
    </row>
    <row r="38">
      <c r="A38" s="74"/>
      <c r="B38" s="126" t="s">
        <v>2278</v>
      </c>
      <c r="E38" s="123">
        <v>45893.0</v>
      </c>
      <c r="H38" s="123">
        <v>45908.0</v>
      </c>
      <c r="K38" s="124" t="s">
        <v>2314</v>
      </c>
      <c r="AE38" s="125" t="str">
        <f t="shared" si="1"/>
        <v>FINALIZADO</v>
      </c>
      <c r="AJ38" s="45"/>
      <c r="AK38" s="122"/>
    </row>
    <row r="39">
      <c r="A39" s="74"/>
      <c r="B39" s="36" t="s">
        <v>2281</v>
      </c>
      <c r="E39" s="123">
        <v>45894.0</v>
      </c>
      <c r="H39" s="123">
        <v>45898.0</v>
      </c>
      <c r="K39" s="124" t="s">
        <v>2315</v>
      </c>
      <c r="AE39" s="125" t="str">
        <f t="shared" si="1"/>
        <v>FINALIZADO</v>
      </c>
      <c r="AJ39" s="45"/>
      <c r="AK39" s="122"/>
    </row>
    <row r="40">
      <c r="A40" s="74"/>
      <c r="B40" s="126" t="s">
        <v>2278</v>
      </c>
      <c r="E40" s="123">
        <v>45920.0</v>
      </c>
      <c r="H40" s="123">
        <v>45934.0</v>
      </c>
      <c r="K40" s="124" t="s">
        <v>2316</v>
      </c>
      <c r="AE40" s="125" t="str">
        <f t="shared" si="1"/>
        <v>FINALIZADO</v>
      </c>
      <c r="AJ40" s="45"/>
      <c r="AK40" s="122"/>
    </row>
    <row r="41">
      <c r="A41" s="74"/>
      <c r="B41" s="126" t="s">
        <v>2278</v>
      </c>
      <c r="E41" s="123">
        <v>45924.0</v>
      </c>
      <c r="H41" s="123">
        <v>45942.0</v>
      </c>
      <c r="K41" s="124" t="s">
        <v>2317</v>
      </c>
      <c r="AE41" s="125" t="str">
        <f t="shared" si="1"/>
        <v>FINALIZADO</v>
      </c>
      <c r="AJ41" s="45"/>
      <c r="AK41" s="122"/>
    </row>
    <row r="42">
      <c r="A42" s="74"/>
      <c r="B42" s="126" t="s">
        <v>2278</v>
      </c>
      <c r="E42" s="123">
        <v>45983.0</v>
      </c>
      <c r="H42" s="123">
        <v>45991.0</v>
      </c>
      <c r="K42" s="124" t="s">
        <v>2318</v>
      </c>
      <c r="AE42" s="125" t="str">
        <f t="shared" si="1"/>
        <v>FINALIZADO</v>
      </c>
      <c r="AJ42" s="45"/>
      <c r="AK42" s="122"/>
    </row>
    <row r="43">
      <c r="A43" s="74"/>
      <c r="B43" s="126" t="s">
        <v>2278</v>
      </c>
      <c r="E43" s="123">
        <v>45937.0</v>
      </c>
      <c r="H43" s="123">
        <v>45942.0</v>
      </c>
      <c r="K43" s="124" t="s">
        <v>2319</v>
      </c>
      <c r="AE43" s="125" t="str">
        <f t="shared" si="1"/>
        <v>FINALIZADO</v>
      </c>
      <c r="AJ43" s="45"/>
      <c r="AK43" s="122"/>
    </row>
    <row r="44">
      <c r="A44" s="74"/>
      <c r="B44" s="126" t="s">
        <v>2278</v>
      </c>
      <c r="E44" s="123">
        <v>45910.0</v>
      </c>
      <c r="H44" s="123">
        <v>45919.0</v>
      </c>
      <c r="K44" s="124" t="s">
        <v>2320</v>
      </c>
      <c r="AE44" s="125" t="str">
        <f t="shared" si="1"/>
        <v>FINALIZADO</v>
      </c>
      <c r="AJ44" s="45"/>
      <c r="AK44" s="122"/>
    </row>
    <row r="45">
      <c r="A45" s="74"/>
      <c r="B45" s="126" t="s">
        <v>2278</v>
      </c>
      <c r="E45" s="123">
        <v>45920.0</v>
      </c>
      <c r="H45" s="123">
        <v>45928.0</v>
      </c>
      <c r="K45" s="124" t="s">
        <v>2321</v>
      </c>
      <c r="AE45" s="125" t="str">
        <f t="shared" si="1"/>
        <v>FINALIZADO</v>
      </c>
      <c r="AJ45" s="45"/>
      <c r="AK45" s="122"/>
    </row>
    <row r="46">
      <c r="A46" s="74"/>
      <c r="B46" s="126" t="s">
        <v>2278</v>
      </c>
      <c r="E46" s="123">
        <v>45915.0</v>
      </c>
      <c r="H46" s="123">
        <v>45922.0</v>
      </c>
      <c r="K46" s="124" t="s">
        <v>2322</v>
      </c>
      <c r="AE46" s="125" t="str">
        <f t="shared" si="1"/>
        <v>FINALIZADO</v>
      </c>
      <c r="AJ46" s="45"/>
      <c r="AK46" s="122"/>
    </row>
    <row r="47">
      <c r="A47" s="74"/>
      <c r="B47" s="126" t="s">
        <v>2278</v>
      </c>
      <c r="E47" s="123">
        <v>45915.0</v>
      </c>
      <c r="H47" s="123">
        <v>46022.0</v>
      </c>
      <c r="K47" s="124" t="s">
        <v>2323</v>
      </c>
      <c r="AE47" s="125" t="str">
        <f t="shared" si="1"/>
        <v>FINALIZADO</v>
      </c>
      <c r="AJ47" s="45"/>
      <c r="AK47" s="122"/>
    </row>
    <row r="48">
      <c r="A48" s="74"/>
      <c r="B48" s="126" t="s">
        <v>2278</v>
      </c>
      <c r="E48" s="123">
        <v>45935.0</v>
      </c>
      <c r="H48" s="123">
        <v>45941.0</v>
      </c>
      <c r="K48" s="124" t="s">
        <v>2324</v>
      </c>
      <c r="AE48" s="125" t="str">
        <f t="shared" si="1"/>
        <v>FINALIZADO</v>
      </c>
      <c r="AJ48" s="45"/>
      <c r="AK48" s="122"/>
    </row>
    <row r="49">
      <c r="A49" s="74"/>
      <c r="B49" s="126" t="s">
        <v>2278</v>
      </c>
      <c r="E49" s="123">
        <v>45915.0</v>
      </c>
      <c r="H49" s="123">
        <v>45945.0</v>
      </c>
      <c r="K49" s="124" t="s">
        <v>2325</v>
      </c>
      <c r="AE49" s="125" t="str">
        <f t="shared" si="1"/>
        <v>FINALIZADO</v>
      </c>
      <c r="AJ49" s="45"/>
      <c r="AK49" s="122"/>
    </row>
    <row r="50">
      <c r="A50" s="74"/>
      <c r="B50" s="126" t="s">
        <v>2278</v>
      </c>
      <c r="E50" s="123">
        <v>45964.0</v>
      </c>
      <c r="H50" s="123">
        <v>45970.0</v>
      </c>
      <c r="K50" s="124" t="s">
        <v>2326</v>
      </c>
      <c r="AE50" s="125" t="str">
        <f t="shared" si="1"/>
        <v>FINALIZADO</v>
      </c>
      <c r="AJ50" s="45"/>
      <c r="AK50" s="122"/>
    </row>
    <row r="51">
      <c r="A51" s="74"/>
      <c r="B51" s="126" t="s">
        <v>2278</v>
      </c>
      <c r="E51" s="123">
        <v>45993.0</v>
      </c>
      <c r="H51" s="123">
        <v>45998.0</v>
      </c>
      <c r="K51" s="124" t="s">
        <v>2327</v>
      </c>
      <c r="AE51" s="125" t="str">
        <f t="shared" si="1"/>
        <v>FINALIZADO</v>
      </c>
      <c r="AJ51" s="45"/>
      <c r="AK51" s="122"/>
    </row>
    <row r="52">
      <c r="A52" s="74"/>
      <c r="B52" s="36"/>
      <c r="E52" s="123"/>
      <c r="H52" s="123"/>
      <c r="K52" s="124"/>
      <c r="AE52" s="125" t="str">
        <f t="shared" si="1"/>
        <v/>
      </c>
      <c r="AJ52" s="45"/>
      <c r="AK52" s="122"/>
    </row>
    <row r="53">
      <c r="A53" s="74"/>
      <c r="B53" s="36"/>
      <c r="E53" s="123"/>
      <c r="H53" s="123"/>
      <c r="K53" s="124"/>
      <c r="AE53" s="125" t="str">
        <f t="shared" si="1"/>
        <v/>
      </c>
      <c r="AJ53" s="45"/>
      <c r="AK53" s="122"/>
    </row>
    <row r="54">
      <c r="A54" s="74"/>
      <c r="B54" s="36"/>
      <c r="E54" s="123"/>
      <c r="H54" s="123"/>
      <c r="K54" s="124"/>
      <c r="AE54" s="125" t="str">
        <f t="shared" si="1"/>
        <v/>
      </c>
      <c r="AJ54" s="45"/>
      <c r="AK54" s="122"/>
    </row>
    <row r="55">
      <c r="A55" s="74"/>
      <c r="B55" s="36"/>
      <c r="E55" s="123"/>
      <c r="H55" s="123"/>
      <c r="K55" s="124"/>
      <c r="AE55" s="125" t="str">
        <f t="shared" si="1"/>
        <v/>
      </c>
      <c r="AJ55" s="45"/>
      <c r="AK55" s="122"/>
    </row>
    <row r="56">
      <c r="A56" s="74"/>
      <c r="B56" s="36"/>
      <c r="E56" s="123"/>
      <c r="H56" s="123"/>
      <c r="K56" s="124"/>
      <c r="AE56" s="125" t="str">
        <f t="shared" si="1"/>
        <v/>
      </c>
      <c r="AJ56" s="45"/>
      <c r="AK56" s="122"/>
    </row>
    <row r="57">
      <c r="A57" s="74"/>
      <c r="B57" s="36"/>
      <c r="E57" s="123"/>
      <c r="H57" s="123"/>
      <c r="K57" s="124"/>
      <c r="AE57" s="125" t="str">
        <f t="shared" si="1"/>
        <v/>
      </c>
      <c r="AJ57" s="45"/>
      <c r="AK57" s="122"/>
    </row>
    <row r="58">
      <c r="A58" s="74"/>
      <c r="B58" s="36"/>
      <c r="E58" s="123"/>
      <c r="H58" s="123"/>
      <c r="K58" s="124"/>
      <c r="AE58" s="125" t="str">
        <f t="shared" si="1"/>
        <v/>
      </c>
      <c r="AJ58" s="45"/>
      <c r="AK58" s="122"/>
    </row>
    <row r="59">
      <c r="A59" s="74"/>
      <c r="B59" s="36"/>
      <c r="E59" s="123"/>
      <c r="H59" s="123"/>
      <c r="K59" s="124"/>
      <c r="AE59" s="125" t="str">
        <f t="shared" si="1"/>
        <v/>
      </c>
      <c r="AJ59" s="45"/>
      <c r="AK59" s="122"/>
    </row>
    <row r="60">
      <c r="A60" s="74"/>
      <c r="B60" s="36"/>
      <c r="E60" s="123"/>
      <c r="H60" s="123"/>
      <c r="K60" s="124"/>
      <c r="AE60" s="125" t="str">
        <f t="shared" si="1"/>
        <v/>
      </c>
      <c r="AJ60" s="45"/>
      <c r="AK60" s="122"/>
    </row>
    <row r="61">
      <c r="A61" s="74"/>
      <c r="B61" s="36"/>
      <c r="E61" s="123"/>
      <c r="H61" s="123"/>
      <c r="K61" s="124"/>
      <c r="AE61" s="125" t="str">
        <f t="shared" si="1"/>
        <v/>
      </c>
      <c r="AJ61" s="45"/>
      <c r="AK61" s="122"/>
    </row>
    <row r="62">
      <c r="A62" s="74"/>
      <c r="B62" s="36"/>
      <c r="E62" s="123"/>
      <c r="H62" s="123"/>
      <c r="K62" s="124"/>
      <c r="AE62" s="125" t="str">
        <f t="shared" si="1"/>
        <v/>
      </c>
      <c r="AJ62" s="45"/>
      <c r="AK62" s="122"/>
    </row>
    <row r="63">
      <c r="A63" s="74"/>
      <c r="B63" s="36"/>
      <c r="E63" s="123"/>
      <c r="H63" s="123"/>
      <c r="K63" s="124"/>
      <c r="AE63" s="125" t="str">
        <f t="shared" si="1"/>
        <v/>
      </c>
      <c r="AJ63" s="45"/>
      <c r="AK63" s="122"/>
    </row>
    <row r="64">
      <c r="A64" s="74"/>
      <c r="B64" s="36"/>
      <c r="E64" s="123"/>
      <c r="H64" s="123"/>
      <c r="K64" s="124"/>
      <c r="AE64" s="125" t="str">
        <f t="shared" si="1"/>
        <v/>
      </c>
      <c r="AJ64" s="45"/>
      <c r="AK64" s="122"/>
    </row>
    <row r="65">
      <c r="A65" s="74"/>
      <c r="B65" s="36"/>
      <c r="E65" s="123"/>
      <c r="H65" s="123"/>
      <c r="K65" s="124"/>
      <c r="AE65" s="125" t="str">
        <f t="shared" si="1"/>
        <v/>
      </c>
      <c r="AJ65" s="45"/>
      <c r="AK65" s="122"/>
    </row>
    <row r="66">
      <c r="A66" s="74"/>
      <c r="B66" s="36"/>
      <c r="E66" s="123"/>
      <c r="H66" s="123"/>
      <c r="K66" s="124"/>
      <c r="AE66" s="125" t="str">
        <f t="shared" si="1"/>
        <v/>
      </c>
      <c r="AJ66" s="45"/>
      <c r="AK66" s="122"/>
    </row>
    <row r="67">
      <c r="A67" s="74"/>
      <c r="B67" s="36"/>
      <c r="E67" s="123"/>
      <c r="H67" s="123"/>
      <c r="K67" s="124"/>
      <c r="AE67" s="125" t="str">
        <f t="shared" si="1"/>
        <v/>
      </c>
      <c r="AJ67" s="45"/>
      <c r="AK67" s="122"/>
    </row>
    <row r="68">
      <c r="A68" s="74"/>
      <c r="B68" s="36"/>
      <c r="E68" s="123"/>
      <c r="H68" s="123"/>
      <c r="K68" s="124"/>
      <c r="AE68" s="125" t="str">
        <f t="shared" si="1"/>
        <v/>
      </c>
      <c r="AJ68" s="45"/>
      <c r="AK68" s="122"/>
    </row>
    <row r="69">
      <c r="A69" s="74"/>
      <c r="B69" s="36"/>
      <c r="E69" s="123"/>
      <c r="H69" s="123"/>
      <c r="K69" s="124"/>
      <c r="AE69" s="125" t="str">
        <f t="shared" si="1"/>
        <v/>
      </c>
      <c r="AJ69" s="45"/>
      <c r="AK69" s="122"/>
    </row>
    <row r="70">
      <c r="A70" s="74"/>
      <c r="B70" s="36"/>
      <c r="E70" s="123"/>
      <c r="H70" s="123"/>
      <c r="K70" s="124"/>
      <c r="AE70" s="125" t="str">
        <f t="shared" si="1"/>
        <v/>
      </c>
      <c r="AJ70" s="45"/>
      <c r="AK70" s="122"/>
    </row>
    <row r="71">
      <c r="A71" s="74"/>
      <c r="B71" s="36"/>
      <c r="E71" s="123"/>
      <c r="H71" s="123"/>
      <c r="K71" s="124"/>
      <c r="AE71" s="125" t="str">
        <f t="shared" si="1"/>
        <v/>
      </c>
      <c r="AJ71" s="45"/>
      <c r="AK71" s="122"/>
    </row>
    <row r="72">
      <c r="A72" s="74"/>
      <c r="B72" s="36"/>
      <c r="E72" s="123"/>
      <c r="H72" s="123"/>
      <c r="K72" s="124"/>
      <c r="AE72" s="125" t="str">
        <f t="shared" si="1"/>
        <v/>
      </c>
      <c r="AJ72" s="45"/>
      <c r="AK72" s="122"/>
    </row>
    <row r="73">
      <c r="A73" s="74"/>
      <c r="B73" s="36"/>
      <c r="E73" s="123"/>
      <c r="H73" s="123"/>
      <c r="K73" s="124"/>
      <c r="AE73" s="125" t="str">
        <f t="shared" si="1"/>
        <v/>
      </c>
      <c r="AJ73" s="45"/>
      <c r="AK73" s="122"/>
    </row>
    <row r="74">
      <c r="A74" s="74"/>
      <c r="B74" s="36"/>
      <c r="E74" s="123"/>
      <c r="H74" s="123"/>
      <c r="K74" s="124"/>
      <c r="AE74" s="125" t="str">
        <f t="shared" si="1"/>
        <v/>
      </c>
      <c r="AJ74" s="45"/>
      <c r="AK74" s="122"/>
    </row>
    <row r="75">
      <c r="A75" s="74"/>
      <c r="B75" s="36"/>
      <c r="E75" s="123"/>
      <c r="H75" s="123"/>
      <c r="K75" s="124"/>
      <c r="AE75" s="125" t="str">
        <f t="shared" si="1"/>
        <v/>
      </c>
      <c r="AJ75" s="45"/>
      <c r="AK75" s="122"/>
    </row>
    <row r="76">
      <c r="A76" s="74"/>
      <c r="B76" s="36"/>
      <c r="E76" s="123"/>
      <c r="H76" s="123"/>
      <c r="K76" s="124"/>
      <c r="AE76" s="125" t="str">
        <f t="shared" si="1"/>
        <v/>
      </c>
      <c r="AJ76" s="45"/>
      <c r="AK76" s="122"/>
    </row>
    <row r="77">
      <c r="A77" s="74"/>
      <c r="B77" s="36"/>
      <c r="E77" s="123"/>
      <c r="H77" s="123"/>
      <c r="K77" s="124"/>
      <c r="AE77" s="125" t="str">
        <f t="shared" si="1"/>
        <v/>
      </c>
      <c r="AJ77" s="45"/>
      <c r="AK77" s="122"/>
    </row>
    <row r="78">
      <c r="A78" s="74"/>
      <c r="B78" s="36"/>
      <c r="E78" s="123"/>
      <c r="H78" s="123"/>
      <c r="K78" s="124"/>
      <c r="AE78" s="125" t="str">
        <f t="shared" si="1"/>
        <v/>
      </c>
      <c r="AJ78" s="45"/>
      <c r="AK78" s="122"/>
    </row>
    <row r="79">
      <c r="A79" s="74"/>
      <c r="B79" s="36"/>
      <c r="E79" s="123"/>
      <c r="H79" s="123"/>
      <c r="K79" s="124"/>
      <c r="AE79" s="125" t="str">
        <f t="shared" si="1"/>
        <v/>
      </c>
      <c r="AJ79" s="45"/>
      <c r="AK79" s="122"/>
    </row>
    <row r="80">
      <c r="A80" s="74"/>
      <c r="B80" s="36"/>
      <c r="E80" s="123"/>
      <c r="H80" s="123"/>
      <c r="K80" s="124"/>
      <c r="AE80" s="125" t="str">
        <f t="shared" si="1"/>
        <v/>
      </c>
      <c r="AJ80" s="45"/>
      <c r="AK80" s="122"/>
    </row>
    <row r="81">
      <c r="A81" s="74"/>
      <c r="B81" s="36"/>
      <c r="E81" s="123"/>
      <c r="H81" s="123"/>
      <c r="K81" s="124"/>
      <c r="AE81" s="125" t="str">
        <f t="shared" si="1"/>
        <v/>
      </c>
      <c r="AJ81" s="45"/>
      <c r="AK81" s="122"/>
    </row>
    <row r="82">
      <c r="A82" s="74"/>
      <c r="B82" s="36"/>
      <c r="E82" s="123"/>
      <c r="H82" s="123"/>
      <c r="K82" s="124"/>
      <c r="AE82" s="125" t="str">
        <f t="shared" si="1"/>
        <v/>
      </c>
      <c r="AJ82" s="45"/>
      <c r="AK82" s="122"/>
    </row>
    <row r="83">
      <c r="A83" s="74"/>
      <c r="B83" s="36"/>
      <c r="E83" s="123"/>
      <c r="H83" s="123"/>
      <c r="K83" s="124"/>
      <c r="AE83" s="125" t="str">
        <f t="shared" si="1"/>
        <v/>
      </c>
      <c r="AJ83" s="45"/>
      <c r="AK83" s="122"/>
    </row>
    <row r="84">
      <c r="A84" s="74"/>
      <c r="B84" s="36"/>
      <c r="E84" s="123"/>
      <c r="H84" s="123"/>
      <c r="K84" s="124"/>
      <c r="AE84" s="125" t="str">
        <f t="shared" si="1"/>
        <v/>
      </c>
      <c r="AJ84" s="45"/>
      <c r="AK84" s="122"/>
    </row>
    <row r="85">
      <c r="A85" s="74"/>
      <c r="B85" s="36"/>
      <c r="E85" s="123"/>
      <c r="H85" s="123"/>
      <c r="K85" s="124"/>
      <c r="AE85" s="125" t="str">
        <f t="shared" si="1"/>
        <v/>
      </c>
      <c r="AJ85" s="45"/>
      <c r="AK85" s="122"/>
    </row>
    <row r="86">
      <c r="A86" s="74"/>
      <c r="B86" s="36"/>
      <c r="E86" s="123"/>
      <c r="H86" s="123"/>
      <c r="K86" s="124"/>
      <c r="AE86" s="125" t="str">
        <f t="shared" si="1"/>
        <v/>
      </c>
      <c r="AJ86" s="45"/>
      <c r="AK86" s="122"/>
    </row>
    <row r="87">
      <c r="A87" s="74"/>
      <c r="B87" s="36"/>
      <c r="E87" s="123"/>
      <c r="H87" s="123"/>
      <c r="K87" s="124"/>
      <c r="AE87" s="125" t="str">
        <f t="shared" si="1"/>
        <v/>
      </c>
      <c r="AJ87" s="45"/>
      <c r="AK87" s="122"/>
    </row>
    <row r="88">
      <c r="A88" s="74"/>
      <c r="B88" s="36"/>
      <c r="E88" s="123"/>
      <c r="H88" s="123"/>
      <c r="K88" s="124"/>
      <c r="AE88" s="125" t="str">
        <f t="shared" si="1"/>
        <v/>
      </c>
      <c r="AJ88" s="45"/>
      <c r="AK88" s="122"/>
    </row>
    <row r="89">
      <c r="A89" s="74"/>
      <c r="B89" s="36"/>
      <c r="E89" s="123"/>
      <c r="H89" s="123"/>
      <c r="K89" s="124"/>
      <c r="AE89" s="125" t="str">
        <f t="shared" si="1"/>
        <v/>
      </c>
      <c r="AJ89" s="45"/>
      <c r="AK89" s="122"/>
    </row>
    <row r="90">
      <c r="A90" s="74"/>
      <c r="B90" s="36"/>
      <c r="E90" s="123"/>
      <c r="H90" s="123"/>
      <c r="K90" s="124"/>
      <c r="AE90" s="125" t="str">
        <f t="shared" si="1"/>
        <v/>
      </c>
      <c r="AJ90" s="45"/>
      <c r="AK90" s="122"/>
    </row>
    <row r="91">
      <c r="A91" s="74"/>
      <c r="B91" s="36"/>
      <c r="E91" s="123"/>
      <c r="H91" s="123"/>
      <c r="K91" s="124"/>
      <c r="AE91" s="125" t="str">
        <f t="shared" si="1"/>
        <v/>
      </c>
      <c r="AJ91" s="45"/>
      <c r="AK91" s="122"/>
    </row>
    <row r="92">
      <c r="A92" s="74"/>
      <c r="B92" s="36"/>
      <c r="E92" s="123"/>
      <c r="H92" s="123"/>
      <c r="K92" s="124"/>
      <c r="AE92" s="125" t="str">
        <f t="shared" si="1"/>
        <v/>
      </c>
      <c r="AJ92" s="45"/>
      <c r="AK92" s="122"/>
    </row>
    <row r="93">
      <c r="A93" s="74"/>
      <c r="B93" s="36"/>
      <c r="E93" s="123"/>
      <c r="H93" s="123"/>
      <c r="K93" s="124"/>
      <c r="AE93" s="125" t="str">
        <f t="shared" si="1"/>
        <v/>
      </c>
      <c r="AJ93" s="45"/>
      <c r="AK93" s="122"/>
    </row>
    <row r="94">
      <c r="A94" s="74"/>
      <c r="B94" s="36"/>
      <c r="E94" s="123"/>
      <c r="H94" s="123"/>
      <c r="K94" s="124"/>
      <c r="AE94" s="125" t="str">
        <f t="shared" si="1"/>
        <v/>
      </c>
      <c r="AJ94" s="45"/>
      <c r="AK94" s="122"/>
    </row>
    <row r="95">
      <c r="A95" s="74"/>
      <c r="B95" s="36"/>
      <c r="E95" s="123"/>
      <c r="H95" s="123"/>
      <c r="K95" s="124"/>
      <c r="AE95" s="125" t="str">
        <f t="shared" si="1"/>
        <v/>
      </c>
      <c r="AJ95" s="45"/>
      <c r="AK95" s="122"/>
    </row>
    <row r="96">
      <c r="A96" s="74"/>
      <c r="B96" s="36"/>
      <c r="E96" s="123"/>
      <c r="H96" s="123"/>
      <c r="K96" s="124"/>
      <c r="AE96" s="125" t="str">
        <f t="shared" si="1"/>
        <v/>
      </c>
      <c r="AJ96" s="45"/>
      <c r="AK96" s="122"/>
    </row>
    <row r="97">
      <c r="A97" s="74"/>
      <c r="B97" s="36"/>
      <c r="E97" s="123"/>
      <c r="H97" s="123"/>
      <c r="K97" s="124"/>
      <c r="AE97" s="125" t="str">
        <f t="shared" si="1"/>
        <v/>
      </c>
      <c r="AJ97" s="45"/>
      <c r="AK97" s="122"/>
    </row>
    <row r="98">
      <c r="A98" s="74"/>
      <c r="B98" s="36"/>
      <c r="E98" s="123"/>
      <c r="H98" s="123"/>
      <c r="K98" s="124"/>
      <c r="AE98" s="125" t="str">
        <f t="shared" si="1"/>
        <v/>
      </c>
      <c r="AJ98" s="45"/>
      <c r="AK98" s="122"/>
    </row>
    <row r="99">
      <c r="A99" s="74"/>
      <c r="B99" s="36"/>
      <c r="E99" s="123"/>
      <c r="H99" s="123"/>
      <c r="K99" s="124"/>
      <c r="AE99" s="125" t="str">
        <f t="shared" si="1"/>
        <v/>
      </c>
      <c r="AJ99" s="45"/>
      <c r="AK99" s="122"/>
    </row>
    <row r="100">
      <c r="A100" s="74"/>
      <c r="B100" s="127"/>
      <c r="C100" s="97"/>
      <c r="D100" s="97"/>
      <c r="E100" s="128"/>
      <c r="F100" s="97"/>
      <c r="G100" s="97"/>
      <c r="H100" s="128"/>
      <c r="I100" s="97"/>
      <c r="J100" s="97"/>
      <c r="K100" s="129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125" t="str">
        <f t="shared" si="1"/>
        <v/>
      </c>
      <c r="AJ100" s="45"/>
      <c r="AK100" s="122"/>
    </row>
    <row r="101">
      <c r="A101" s="74"/>
      <c r="B101" s="130"/>
      <c r="C101" s="130"/>
      <c r="D101" s="130"/>
      <c r="E101" s="131"/>
      <c r="F101" s="131"/>
      <c r="G101" s="131"/>
      <c r="H101" s="131"/>
      <c r="I101" s="131"/>
      <c r="J101" s="131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22"/>
    </row>
  </sheetData>
  <mergeCells count="495">
    <mergeCell ref="K30:AD30"/>
    <mergeCell ref="AE30:AJ30"/>
    <mergeCell ref="B28:D28"/>
    <mergeCell ref="B29:D29"/>
    <mergeCell ref="E29:G29"/>
    <mergeCell ref="H29:J29"/>
    <mergeCell ref="K29:AD29"/>
    <mergeCell ref="AE29:AJ29"/>
    <mergeCell ref="B30:D30"/>
    <mergeCell ref="H18:J18"/>
    <mergeCell ref="K18:AD18"/>
    <mergeCell ref="K19:AD19"/>
    <mergeCell ref="AE19:AJ19"/>
    <mergeCell ref="K20:AD20"/>
    <mergeCell ref="AE20:AJ20"/>
    <mergeCell ref="B17:D17"/>
    <mergeCell ref="E17:G17"/>
    <mergeCell ref="H17:J17"/>
    <mergeCell ref="K17:AD17"/>
    <mergeCell ref="AE17:AJ17"/>
    <mergeCell ref="E18:G18"/>
    <mergeCell ref="AE18:AJ18"/>
    <mergeCell ref="B21:D21"/>
    <mergeCell ref="E21:G21"/>
    <mergeCell ref="H21:J21"/>
    <mergeCell ref="K21:AD21"/>
    <mergeCell ref="AE21:AJ21"/>
    <mergeCell ref="B22:D22"/>
    <mergeCell ref="E22:G22"/>
    <mergeCell ref="H22:J22"/>
    <mergeCell ref="K22:AD22"/>
    <mergeCell ref="AE22:AJ22"/>
    <mergeCell ref="B18:D18"/>
    <mergeCell ref="B19:D19"/>
    <mergeCell ref="E19:G19"/>
    <mergeCell ref="H19:J19"/>
    <mergeCell ref="B20:D20"/>
    <mergeCell ref="E20:G20"/>
    <mergeCell ref="H20:J20"/>
    <mergeCell ref="B23:D23"/>
    <mergeCell ref="E23:G23"/>
    <mergeCell ref="H23:J23"/>
    <mergeCell ref="K23:AD23"/>
    <mergeCell ref="AE23:AJ23"/>
    <mergeCell ref="E24:G24"/>
    <mergeCell ref="AE24:AJ24"/>
    <mergeCell ref="E30:G30"/>
    <mergeCell ref="H30:J30"/>
    <mergeCell ref="B31:D31"/>
    <mergeCell ref="E31:G31"/>
    <mergeCell ref="H31:J31"/>
    <mergeCell ref="K31:AD31"/>
    <mergeCell ref="AE31:AJ31"/>
    <mergeCell ref="H9:J9"/>
    <mergeCell ref="K9:AD9"/>
    <mergeCell ref="K10:AD10"/>
    <mergeCell ref="AE10:AJ10"/>
    <mergeCell ref="K11:AD11"/>
    <mergeCell ref="AE11:AJ11"/>
    <mergeCell ref="B9:D9"/>
    <mergeCell ref="B10:D10"/>
    <mergeCell ref="E10:G10"/>
    <mergeCell ref="H10:J10"/>
    <mergeCell ref="B11:D11"/>
    <mergeCell ref="E11:G11"/>
    <mergeCell ref="H11:J11"/>
    <mergeCell ref="H13:J13"/>
    <mergeCell ref="K13:AD13"/>
    <mergeCell ref="B12:D12"/>
    <mergeCell ref="E12:G12"/>
    <mergeCell ref="H12:J12"/>
    <mergeCell ref="K12:AD12"/>
    <mergeCell ref="AE12:AJ12"/>
    <mergeCell ref="E13:G13"/>
    <mergeCell ref="AE13:AJ13"/>
    <mergeCell ref="K15:AD15"/>
    <mergeCell ref="AE15:AJ15"/>
    <mergeCell ref="B13:D13"/>
    <mergeCell ref="B14:D14"/>
    <mergeCell ref="E14:G14"/>
    <mergeCell ref="H14:J14"/>
    <mergeCell ref="K14:AD14"/>
    <mergeCell ref="AE14:AJ14"/>
    <mergeCell ref="B15:D15"/>
    <mergeCell ref="H3:J3"/>
    <mergeCell ref="K3:AD3"/>
    <mergeCell ref="K4:AD4"/>
    <mergeCell ref="AE4:AJ4"/>
    <mergeCell ref="K5:AD5"/>
    <mergeCell ref="AE5:AJ5"/>
    <mergeCell ref="B2:D2"/>
    <mergeCell ref="E2:G2"/>
    <mergeCell ref="H2:J2"/>
    <mergeCell ref="K2:AD2"/>
    <mergeCell ref="AE2:AJ2"/>
    <mergeCell ref="E3:G3"/>
    <mergeCell ref="AE3:AJ3"/>
    <mergeCell ref="B6:D6"/>
    <mergeCell ref="E6:G6"/>
    <mergeCell ref="H6:J6"/>
    <mergeCell ref="K6:AD6"/>
    <mergeCell ref="AE6:AJ6"/>
    <mergeCell ref="B7:D7"/>
    <mergeCell ref="E7:G7"/>
    <mergeCell ref="H7:J7"/>
    <mergeCell ref="K7:AD7"/>
    <mergeCell ref="AE7:AJ7"/>
    <mergeCell ref="B3:D3"/>
    <mergeCell ref="B4:D4"/>
    <mergeCell ref="E4:G4"/>
    <mergeCell ref="H4:J4"/>
    <mergeCell ref="B5:D5"/>
    <mergeCell ref="E5:G5"/>
    <mergeCell ref="H5:J5"/>
    <mergeCell ref="B8:D8"/>
    <mergeCell ref="E8:G8"/>
    <mergeCell ref="H8:J8"/>
    <mergeCell ref="K8:AD8"/>
    <mergeCell ref="AE8:AJ8"/>
    <mergeCell ref="E9:G9"/>
    <mergeCell ref="AE9:AJ9"/>
    <mergeCell ref="E15:G15"/>
    <mergeCell ref="H15:J15"/>
    <mergeCell ref="B16:D16"/>
    <mergeCell ref="E16:G16"/>
    <mergeCell ref="H16:J16"/>
    <mergeCell ref="K16:AD16"/>
    <mergeCell ref="AE16:AJ16"/>
    <mergeCell ref="H24:J24"/>
    <mergeCell ref="K24:AD24"/>
    <mergeCell ref="K25:AD25"/>
    <mergeCell ref="AE25:AJ25"/>
    <mergeCell ref="K26:AD26"/>
    <mergeCell ref="AE26:AJ26"/>
    <mergeCell ref="B24:D24"/>
    <mergeCell ref="B25:D25"/>
    <mergeCell ref="E25:G25"/>
    <mergeCell ref="H25:J25"/>
    <mergeCell ref="B26:D26"/>
    <mergeCell ref="E26:G26"/>
    <mergeCell ref="H26:J26"/>
    <mergeCell ref="H28:J28"/>
    <mergeCell ref="K28:AD28"/>
    <mergeCell ref="B27:D27"/>
    <mergeCell ref="E27:G27"/>
    <mergeCell ref="H27:J27"/>
    <mergeCell ref="K27:AD27"/>
    <mergeCell ref="AE27:AJ27"/>
    <mergeCell ref="E28:G28"/>
    <mergeCell ref="AE28:AJ28"/>
    <mergeCell ref="H43:J43"/>
    <mergeCell ref="K43:AD43"/>
    <mergeCell ref="B42:D42"/>
    <mergeCell ref="E42:G42"/>
    <mergeCell ref="H42:J42"/>
    <mergeCell ref="K42:AD42"/>
    <mergeCell ref="AE42:AJ42"/>
    <mergeCell ref="E43:G43"/>
    <mergeCell ref="AE43:AJ43"/>
    <mergeCell ref="H39:J39"/>
    <mergeCell ref="K39:AD39"/>
    <mergeCell ref="K40:AD40"/>
    <mergeCell ref="AE40:AJ40"/>
    <mergeCell ref="K41:AD41"/>
    <mergeCell ref="AE41:AJ41"/>
    <mergeCell ref="B39:D39"/>
    <mergeCell ref="B40:D40"/>
    <mergeCell ref="E40:G40"/>
    <mergeCell ref="H40:J40"/>
    <mergeCell ref="B41:D41"/>
    <mergeCell ref="E41:G41"/>
    <mergeCell ref="H41:J41"/>
    <mergeCell ref="K45:AD45"/>
    <mergeCell ref="AE45:AJ45"/>
    <mergeCell ref="B43:D43"/>
    <mergeCell ref="B44:D44"/>
    <mergeCell ref="E44:G44"/>
    <mergeCell ref="H44:J44"/>
    <mergeCell ref="K44:AD44"/>
    <mergeCell ref="AE44:AJ44"/>
    <mergeCell ref="B45:D45"/>
    <mergeCell ref="H33:J33"/>
    <mergeCell ref="K33:AD33"/>
    <mergeCell ref="K34:AD34"/>
    <mergeCell ref="AE34:AJ34"/>
    <mergeCell ref="K35:AD35"/>
    <mergeCell ref="AE35:AJ35"/>
    <mergeCell ref="B32:D32"/>
    <mergeCell ref="E32:G32"/>
    <mergeCell ref="H32:J32"/>
    <mergeCell ref="K32:AD32"/>
    <mergeCell ref="AE32:AJ32"/>
    <mergeCell ref="E33:G33"/>
    <mergeCell ref="AE33:AJ33"/>
    <mergeCell ref="B36:D36"/>
    <mergeCell ref="E36:G36"/>
    <mergeCell ref="H36:J36"/>
    <mergeCell ref="K36:AD36"/>
    <mergeCell ref="AE36:AJ36"/>
    <mergeCell ref="B37:D37"/>
    <mergeCell ref="E37:G37"/>
    <mergeCell ref="H37:J37"/>
    <mergeCell ref="K37:AD37"/>
    <mergeCell ref="AE37:AJ37"/>
    <mergeCell ref="B33:D33"/>
    <mergeCell ref="B34:D34"/>
    <mergeCell ref="E34:G34"/>
    <mergeCell ref="H34:J34"/>
    <mergeCell ref="B35:D35"/>
    <mergeCell ref="E35:G35"/>
    <mergeCell ref="H35:J35"/>
    <mergeCell ref="B38:D38"/>
    <mergeCell ref="E38:G38"/>
    <mergeCell ref="H38:J38"/>
    <mergeCell ref="K38:AD38"/>
    <mergeCell ref="AE38:AJ38"/>
    <mergeCell ref="E39:G39"/>
    <mergeCell ref="AE39:AJ39"/>
    <mergeCell ref="E45:G45"/>
    <mergeCell ref="H45:J45"/>
    <mergeCell ref="B46:D46"/>
    <mergeCell ref="E46:G46"/>
    <mergeCell ref="H46:J46"/>
    <mergeCell ref="K46:AD46"/>
    <mergeCell ref="AE46:AJ46"/>
    <mergeCell ref="H54:J54"/>
    <mergeCell ref="K54:AD54"/>
    <mergeCell ref="K55:AD55"/>
    <mergeCell ref="AE55:AJ55"/>
    <mergeCell ref="K56:AD56"/>
    <mergeCell ref="AE56:AJ56"/>
    <mergeCell ref="B54:D54"/>
    <mergeCell ref="B55:D55"/>
    <mergeCell ref="E55:G55"/>
    <mergeCell ref="H55:J55"/>
    <mergeCell ref="B56:D56"/>
    <mergeCell ref="E56:G56"/>
    <mergeCell ref="H56:J56"/>
    <mergeCell ref="H58:J58"/>
    <mergeCell ref="K58:AD58"/>
    <mergeCell ref="B57:D57"/>
    <mergeCell ref="E57:G57"/>
    <mergeCell ref="H57:J57"/>
    <mergeCell ref="K57:AD57"/>
    <mergeCell ref="AE57:AJ57"/>
    <mergeCell ref="E58:G58"/>
    <mergeCell ref="AE58:AJ58"/>
    <mergeCell ref="K60:AD60"/>
    <mergeCell ref="AE60:AJ60"/>
    <mergeCell ref="B58:D58"/>
    <mergeCell ref="B59:D59"/>
    <mergeCell ref="E59:G59"/>
    <mergeCell ref="H59:J59"/>
    <mergeCell ref="K59:AD59"/>
    <mergeCell ref="AE59:AJ59"/>
    <mergeCell ref="B60:D60"/>
    <mergeCell ref="H48:J48"/>
    <mergeCell ref="K48:AD48"/>
    <mergeCell ref="K49:AD49"/>
    <mergeCell ref="AE49:AJ49"/>
    <mergeCell ref="K50:AD50"/>
    <mergeCell ref="AE50:AJ50"/>
    <mergeCell ref="B47:D47"/>
    <mergeCell ref="E47:G47"/>
    <mergeCell ref="H47:J47"/>
    <mergeCell ref="K47:AD47"/>
    <mergeCell ref="AE47:AJ47"/>
    <mergeCell ref="E48:G48"/>
    <mergeCell ref="AE48:AJ48"/>
    <mergeCell ref="B51:D51"/>
    <mergeCell ref="E51:G51"/>
    <mergeCell ref="H51:J51"/>
    <mergeCell ref="K51:AD51"/>
    <mergeCell ref="AE51:AJ51"/>
    <mergeCell ref="B52:D52"/>
    <mergeCell ref="E52:G52"/>
    <mergeCell ref="H52:J52"/>
    <mergeCell ref="K52:AD52"/>
    <mergeCell ref="AE52:AJ52"/>
    <mergeCell ref="B48:D48"/>
    <mergeCell ref="B49:D49"/>
    <mergeCell ref="E49:G49"/>
    <mergeCell ref="H49:J49"/>
    <mergeCell ref="B50:D50"/>
    <mergeCell ref="E50:G50"/>
    <mergeCell ref="H50:J50"/>
    <mergeCell ref="B53:D53"/>
    <mergeCell ref="E53:G53"/>
    <mergeCell ref="H53:J53"/>
    <mergeCell ref="K53:AD53"/>
    <mergeCell ref="AE53:AJ53"/>
    <mergeCell ref="E54:G54"/>
    <mergeCell ref="AE54:AJ54"/>
    <mergeCell ref="E60:G60"/>
    <mergeCell ref="H60:J60"/>
    <mergeCell ref="B61:D61"/>
    <mergeCell ref="E61:G61"/>
    <mergeCell ref="H61:J61"/>
    <mergeCell ref="K61:AD61"/>
    <mergeCell ref="AE61:AJ61"/>
    <mergeCell ref="K90:AD90"/>
    <mergeCell ref="AE90:AJ90"/>
    <mergeCell ref="B88:D88"/>
    <mergeCell ref="B89:D89"/>
    <mergeCell ref="E89:G89"/>
    <mergeCell ref="H89:J89"/>
    <mergeCell ref="K89:AD89"/>
    <mergeCell ref="AE89:AJ89"/>
    <mergeCell ref="B90:D90"/>
    <mergeCell ref="H78:J78"/>
    <mergeCell ref="K78:AD78"/>
    <mergeCell ref="K79:AD79"/>
    <mergeCell ref="AE79:AJ79"/>
    <mergeCell ref="K80:AD80"/>
    <mergeCell ref="AE80:AJ80"/>
    <mergeCell ref="B77:D77"/>
    <mergeCell ref="E77:G77"/>
    <mergeCell ref="H77:J77"/>
    <mergeCell ref="K77:AD77"/>
    <mergeCell ref="AE77:AJ77"/>
    <mergeCell ref="E78:G78"/>
    <mergeCell ref="AE78:AJ78"/>
    <mergeCell ref="B81:D81"/>
    <mergeCell ref="E81:G81"/>
    <mergeCell ref="H81:J81"/>
    <mergeCell ref="K81:AD81"/>
    <mergeCell ref="AE81:AJ81"/>
    <mergeCell ref="B82:D82"/>
    <mergeCell ref="E82:G82"/>
    <mergeCell ref="H82:J82"/>
    <mergeCell ref="K82:AD82"/>
    <mergeCell ref="AE82:AJ82"/>
    <mergeCell ref="B78:D78"/>
    <mergeCell ref="B79:D79"/>
    <mergeCell ref="E79:G79"/>
    <mergeCell ref="H79:J79"/>
    <mergeCell ref="B80:D80"/>
    <mergeCell ref="E80:G80"/>
    <mergeCell ref="H80:J80"/>
    <mergeCell ref="B83:D83"/>
    <mergeCell ref="E83:G83"/>
    <mergeCell ref="H83:J83"/>
    <mergeCell ref="K83:AD83"/>
    <mergeCell ref="AE83:AJ83"/>
    <mergeCell ref="E84:G84"/>
    <mergeCell ref="AE84:AJ84"/>
    <mergeCell ref="E90:G90"/>
    <mergeCell ref="H90:J90"/>
    <mergeCell ref="B91:D91"/>
    <mergeCell ref="E91:G91"/>
    <mergeCell ref="H91:J91"/>
    <mergeCell ref="K91:AD91"/>
    <mergeCell ref="AE91:AJ91"/>
    <mergeCell ref="H69:J69"/>
    <mergeCell ref="K69:AD69"/>
    <mergeCell ref="K70:AD70"/>
    <mergeCell ref="AE70:AJ70"/>
    <mergeCell ref="K71:AD71"/>
    <mergeCell ref="AE71:AJ71"/>
    <mergeCell ref="B69:D69"/>
    <mergeCell ref="B70:D70"/>
    <mergeCell ref="E70:G70"/>
    <mergeCell ref="H70:J70"/>
    <mergeCell ref="B71:D71"/>
    <mergeCell ref="E71:G71"/>
    <mergeCell ref="H71:J71"/>
    <mergeCell ref="H73:J73"/>
    <mergeCell ref="K73:AD73"/>
    <mergeCell ref="B72:D72"/>
    <mergeCell ref="E72:G72"/>
    <mergeCell ref="H72:J72"/>
    <mergeCell ref="K72:AD72"/>
    <mergeCell ref="AE72:AJ72"/>
    <mergeCell ref="E73:G73"/>
    <mergeCell ref="AE73:AJ73"/>
    <mergeCell ref="K75:AD75"/>
    <mergeCell ref="AE75:AJ75"/>
    <mergeCell ref="B73:D73"/>
    <mergeCell ref="B74:D74"/>
    <mergeCell ref="E74:G74"/>
    <mergeCell ref="H74:J74"/>
    <mergeCell ref="K74:AD74"/>
    <mergeCell ref="AE74:AJ74"/>
    <mergeCell ref="B75:D75"/>
    <mergeCell ref="H63:J63"/>
    <mergeCell ref="K63:AD63"/>
    <mergeCell ref="K64:AD64"/>
    <mergeCell ref="AE64:AJ64"/>
    <mergeCell ref="K65:AD65"/>
    <mergeCell ref="AE65:AJ65"/>
    <mergeCell ref="B62:D62"/>
    <mergeCell ref="E62:G62"/>
    <mergeCell ref="H62:J62"/>
    <mergeCell ref="K62:AD62"/>
    <mergeCell ref="AE62:AJ62"/>
    <mergeCell ref="E63:G63"/>
    <mergeCell ref="AE63:AJ63"/>
    <mergeCell ref="B66:D66"/>
    <mergeCell ref="E66:G66"/>
    <mergeCell ref="H66:J66"/>
    <mergeCell ref="K66:AD66"/>
    <mergeCell ref="AE66:AJ66"/>
    <mergeCell ref="B67:D67"/>
    <mergeCell ref="E67:G67"/>
    <mergeCell ref="H67:J67"/>
    <mergeCell ref="K67:AD67"/>
    <mergeCell ref="AE67:AJ67"/>
    <mergeCell ref="B63:D63"/>
    <mergeCell ref="B64:D64"/>
    <mergeCell ref="E64:G64"/>
    <mergeCell ref="H64:J64"/>
    <mergeCell ref="B65:D65"/>
    <mergeCell ref="E65:G65"/>
    <mergeCell ref="H65:J65"/>
    <mergeCell ref="B68:D68"/>
    <mergeCell ref="E68:G68"/>
    <mergeCell ref="H68:J68"/>
    <mergeCell ref="K68:AD68"/>
    <mergeCell ref="AE68:AJ68"/>
    <mergeCell ref="E69:G69"/>
    <mergeCell ref="AE69:AJ69"/>
    <mergeCell ref="E75:G75"/>
    <mergeCell ref="H75:J75"/>
    <mergeCell ref="B76:D76"/>
    <mergeCell ref="E76:G76"/>
    <mergeCell ref="H76:J76"/>
    <mergeCell ref="K76:AD76"/>
    <mergeCell ref="AE76:AJ76"/>
    <mergeCell ref="H84:J84"/>
    <mergeCell ref="K84:AD84"/>
    <mergeCell ref="K85:AD85"/>
    <mergeCell ref="AE85:AJ85"/>
    <mergeCell ref="K86:AD86"/>
    <mergeCell ref="AE86:AJ86"/>
    <mergeCell ref="B84:D84"/>
    <mergeCell ref="B85:D85"/>
    <mergeCell ref="E85:G85"/>
    <mergeCell ref="H85:J85"/>
    <mergeCell ref="B86:D86"/>
    <mergeCell ref="E86:G86"/>
    <mergeCell ref="H86:J86"/>
    <mergeCell ref="H88:J88"/>
    <mergeCell ref="K88:AD88"/>
    <mergeCell ref="B87:D87"/>
    <mergeCell ref="E87:G87"/>
    <mergeCell ref="H87:J87"/>
    <mergeCell ref="K87:AD87"/>
    <mergeCell ref="AE87:AJ87"/>
    <mergeCell ref="E88:G88"/>
    <mergeCell ref="AE88:AJ88"/>
    <mergeCell ref="H93:J93"/>
    <mergeCell ref="K93:AD93"/>
    <mergeCell ref="K94:AD94"/>
    <mergeCell ref="AE94:AJ94"/>
    <mergeCell ref="K95:AD95"/>
    <mergeCell ref="AE95:AJ95"/>
    <mergeCell ref="B92:D92"/>
    <mergeCell ref="E92:G92"/>
    <mergeCell ref="H92:J92"/>
    <mergeCell ref="K92:AD92"/>
    <mergeCell ref="AE92:AJ92"/>
    <mergeCell ref="E93:G93"/>
    <mergeCell ref="AE93:AJ93"/>
    <mergeCell ref="B96:D96"/>
    <mergeCell ref="E96:G96"/>
    <mergeCell ref="H96:J96"/>
    <mergeCell ref="K96:AD96"/>
    <mergeCell ref="AE96:AJ96"/>
    <mergeCell ref="B97:D97"/>
    <mergeCell ref="E97:G97"/>
    <mergeCell ref="H97:J97"/>
    <mergeCell ref="K97:AD97"/>
    <mergeCell ref="AE97:AJ97"/>
    <mergeCell ref="B93:D93"/>
    <mergeCell ref="B94:D94"/>
    <mergeCell ref="E94:G94"/>
    <mergeCell ref="H94:J94"/>
    <mergeCell ref="B95:D95"/>
    <mergeCell ref="E95:G95"/>
    <mergeCell ref="H95:J95"/>
    <mergeCell ref="H99:J99"/>
    <mergeCell ref="K99:AD99"/>
    <mergeCell ref="K100:AD100"/>
    <mergeCell ref="AE100:AJ100"/>
    <mergeCell ref="B99:D99"/>
    <mergeCell ref="B100:D100"/>
    <mergeCell ref="E100:G100"/>
    <mergeCell ref="H100:J100"/>
    <mergeCell ref="B98:D98"/>
    <mergeCell ref="E98:G98"/>
    <mergeCell ref="H98:J98"/>
    <mergeCell ref="K98:AD98"/>
    <mergeCell ref="AE98:AJ98"/>
    <mergeCell ref="E99:G99"/>
    <mergeCell ref="AE99:AJ99"/>
  </mergeCells>
  <conditionalFormatting sqref="B3:H101">
    <cfRule type="timePeriod" dxfId="3" priority="1" timePeriod="today"/>
  </conditionalFormatting>
  <conditionalFormatting sqref="B3:H101">
    <cfRule type="expression" dxfId="4" priority="2">
      <formula>AND(ISNUMBER(B3),TRUNC(B3)&gt;TODAY())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9" width="3.25"/>
    <col customWidth="1" min="50" max="55" width="3.88"/>
    <col customWidth="1" min="56" max="56" width="3.25"/>
  </cols>
  <sheetData>
    <row r="1" ht="18.75" customHeight="1">
      <c r="A1" s="82" t="s">
        <v>2328</v>
      </c>
      <c r="B1" s="81"/>
      <c r="C1" s="81"/>
      <c r="D1" s="81"/>
      <c r="E1" s="88"/>
      <c r="F1" s="88"/>
      <c r="G1" s="88"/>
      <c r="H1" s="88" t="s">
        <v>2329</v>
      </c>
      <c r="AP1" s="88"/>
      <c r="AQ1" s="88"/>
      <c r="AR1" s="88"/>
      <c r="AS1" s="88"/>
      <c r="AT1" s="88"/>
      <c r="AU1" s="81"/>
      <c r="AV1" s="81"/>
      <c r="AW1" s="81"/>
      <c r="AX1" s="81"/>
      <c r="AY1" s="81"/>
      <c r="AZ1" s="81"/>
      <c r="BA1" s="81"/>
      <c r="BB1" s="81"/>
      <c r="BC1" s="81"/>
      <c r="BD1" s="82" t="s">
        <v>1562</v>
      </c>
    </row>
    <row r="2" ht="18.75" customHeight="1">
      <c r="A2" s="82"/>
      <c r="B2" s="81"/>
      <c r="C2" s="81"/>
      <c r="D2" s="81"/>
      <c r="E2" s="88"/>
      <c r="F2" s="88"/>
      <c r="G2" s="88"/>
      <c r="AP2" s="88"/>
      <c r="AQ2" s="88"/>
      <c r="AR2" s="88"/>
      <c r="AS2" s="88"/>
      <c r="AT2" s="88"/>
      <c r="AU2" s="81"/>
      <c r="AV2" s="81"/>
      <c r="AW2" s="81"/>
      <c r="AX2" s="133">
        <f>NOW()</f>
        <v>46199.47557</v>
      </c>
      <c r="BD2" s="82"/>
    </row>
    <row r="3" ht="18.75" customHeight="1">
      <c r="A3" s="82"/>
      <c r="B3" s="81"/>
      <c r="C3" s="81"/>
      <c r="D3" s="81"/>
      <c r="E3" s="88"/>
      <c r="F3" s="88"/>
      <c r="G3" s="88"/>
      <c r="AP3" s="88"/>
      <c r="AQ3" s="88"/>
      <c r="AR3" s="88"/>
      <c r="AS3" s="88"/>
      <c r="AT3" s="88"/>
      <c r="AU3" s="81"/>
      <c r="AV3" s="81"/>
      <c r="AW3" s="81"/>
      <c r="BD3" s="82"/>
    </row>
    <row r="4" ht="18.75" customHeight="1">
      <c r="A4" s="81"/>
      <c r="B4" s="89" t="s">
        <v>36</v>
      </c>
      <c r="AV4" s="89"/>
      <c r="AW4" s="81"/>
      <c r="AX4" s="81"/>
      <c r="AY4" s="81"/>
      <c r="AZ4" s="81"/>
      <c r="BA4" s="81"/>
      <c r="BB4" s="81"/>
      <c r="BC4" s="81"/>
      <c r="BD4" s="81"/>
    </row>
    <row r="5" ht="18.75" customHeight="1">
      <c r="A5" s="82"/>
      <c r="B5" s="134" t="s">
        <v>31</v>
      </c>
      <c r="C5" s="30"/>
      <c r="D5" s="30"/>
      <c r="E5" s="33" t="s">
        <v>32</v>
      </c>
      <c r="F5" s="30"/>
      <c r="G5" s="30"/>
      <c r="H5" s="33" t="s">
        <v>33</v>
      </c>
      <c r="I5" s="30"/>
      <c r="J5" s="30"/>
      <c r="K5" s="30"/>
      <c r="L5" s="30"/>
      <c r="M5" s="30"/>
      <c r="N5" s="30"/>
      <c r="O5" s="30"/>
      <c r="P5" s="30"/>
      <c r="Q5" s="30"/>
      <c r="R5" s="33" t="s">
        <v>34</v>
      </c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3" t="s">
        <v>35</v>
      </c>
      <c r="AE5" s="30"/>
      <c r="AF5" s="33" t="s">
        <v>36</v>
      </c>
      <c r="AG5" s="30"/>
      <c r="AH5" s="30"/>
      <c r="AI5" s="33" t="s">
        <v>37</v>
      </c>
      <c r="AJ5" s="30"/>
      <c r="AK5" s="33" t="s">
        <v>38</v>
      </c>
      <c r="AL5" s="30"/>
      <c r="AM5" s="30"/>
      <c r="AN5" s="30"/>
      <c r="AO5" s="33" t="s">
        <v>39</v>
      </c>
      <c r="AP5" s="30"/>
      <c r="AQ5" s="30"/>
      <c r="AR5" s="30"/>
      <c r="AS5" s="30"/>
      <c r="AT5" s="30"/>
      <c r="AU5" s="33" t="s">
        <v>40</v>
      </c>
      <c r="AV5" s="34"/>
      <c r="AW5" s="135"/>
      <c r="AX5" s="136" t="s">
        <v>2330</v>
      </c>
      <c r="BD5" s="135"/>
    </row>
    <row r="6" ht="18.75" customHeight="1">
      <c r="A6" s="81" t="str">
        <f>IFERROR(__xludf.DUMMYFUNCTION("IFERROR(QUERY(VOOS!B3:AW536,""SELECT * WHERE Col1='ROTA' and Col41&lt;&gt;'REALIZADO' and Col41&lt;&gt;'ABORTIVA'"",0))"),"")</f>
        <v/>
      </c>
      <c r="B6" s="137"/>
      <c r="E6" s="38"/>
      <c r="H6" s="39"/>
      <c r="R6" s="39"/>
      <c r="AD6" s="40"/>
      <c r="AF6" s="43"/>
      <c r="AI6" s="138"/>
      <c r="AK6" s="42"/>
      <c r="AO6" s="39"/>
      <c r="AU6" s="44"/>
      <c r="AW6" s="135"/>
      <c r="AX6" s="139" t="s">
        <v>2264</v>
      </c>
      <c r="AZ6" s="140" t="s">
        <v>5</v>
      </c>
      <c r="BB6" s="140" t="s">
        <v>6</v>
      </c>
      <c r="BD6" s="135"/>
    </row>
    <row r="7" ht="18.75" customHeight="1">
      <c r="A7" s="81"/>
      <c r="B7" s="137"/>
      <c r="E7" s="38"/>
      <c r="H7" s="39"/>
      <c r="R7" s="39"/>
      <c r="AD7" s="40"/>
      <c r="AF7" s="141"/>
      <c r="AI7" s="138"/>
      <c r="AK7" s="42"/>
      <c r="AO7" s="39"/>
      <c r="AU7" s="44"/>
      <c r="AW7" s="135"/>
      <c r="AX7" s="142" t="s">
        <v>2331</v>
      </c>
      <c r="AZ7" s="143">
        <f>IFERROR(__xludf.DUMMYFUNCTION("IMPORTRANGE('Referências'!$B$5,""EA C95!K2"")"),-0.5972222222222179)</f>
        <v>-0.5972222222</v>
      </c>
      <c r="BB7" s="143">
        <f>IFERROR(__xludf.DUMMYFUNCTION("IMPORTRANGE('Referências'!$B$5,""EA C95!K3"")"),0.190972222222217)</f>
        <v>0.1909722222</v>
      </c>
      <c r="BD7" s="135"/>
    </row>
    <row r="8" ht="18.75" customHeight="1">
      <c r="A8" s="81"/>
      <c r="B8" s="137"/>
      <c r="E8" s="38"/>
      <c r="H8" s="39"/>
      <c r="R8" s="39"/>
      <c r="AD8" s="40"/>
      <c r="AF8" s="43"/>
      <c r="AI8" s="138"/>
      <c r="AK8" s="42"/>
      <c r="AO8" s="39"/>
      <c r="AU8" s="44"/>
      <c r="AW8" s="135"/>
      <c r="AX8" s="142" t="s">
        <v>2332</v>
      </c>
      <c r="AZ8" s="143">
        <f>IFERROR(__xludf.DUMMYFUNCTION("IMPORTRANGE('Referências'!$B$5,""EA C97!K2"")"),-0.4756944444444482)</f>
        <v>-0.4756944444</v>
      </c>
      <c r="BB8" s="144">
        <f>IFERROR(__xludf.DUMMYFUNCTION("IMPORTRANGE('Referências'!$B$5,""EA C97!K3"")"),8.881784197001252E-16)</f>
        <v>0</v>
      </c>
      <c r="BD8" s="135"/>
    </row>
    <row r="9" ht="18.75" customHeight="1">
      <c r="A9" s="81"/>
      <c r="B9" s="137"/>
      <c r="E9" s="38"/>
      <c r="H9" s="39" t="s">
        <v>1562</v>
      </c>
      <c r="R9" s="39"/>
      <c r="AD9" s="40"/>
      <c r="AF9" s="43"/>
      <c r="AI9" s="138"/>
      <c r="AK9" s="42"/>
      <c r="AO9" s="39"/>
      <c r="AU9" s="44"/>
      <c r="AW9" s="135"/>
      <c r="AX9" s="142" t="s">
        <v>2333</v>
      </c>
      <c r="AZ9" s="143">
        <f>IFERROR(__xludf.DUMMYFUNCTION("IMPORTRANGE('Referências'!$B$5,""EA C98!K2"")"),1.5243055555555571)</f>
        <v>1.524305556</v>
      </c>
      <c r="BB9" s="143">
        <f>IFERROR(__xludf.DUMMYFUNCTION("IMPORTRANGE('Referências'!$B$5,""EA C98!K3"")"),0.0)</f>
        <v>0</v>
      </c>
      <c r="BD9" s="135"/>
    </row>
    <row r="10" ht="18.75" customHeight="1">
      <c r="A10" s="81"/>
      <c r="B10" s="137"/>
      <c r="E10" s="38"/>
      <c r="H10" s="39"/>
      <c r="R10" s="39"/>
      <c r="AD10" s="40"/>
      <c r="AF10" s="43"/>
      <c r="AI10" s="138"/>
      <c r="AK10" s="42"/>
      <c r="AO10" s="39"/>
      <c r="AU10" s="44"/>
      <c r="AW10" s="135"/>
      <c r="AX10" s="81" t="s">
        <v>2334</v>
      </c>
      <c r="AY10" s="81"/>
      <c r="AZ10" s="81" t="s">
        <v>2334</v>
      </c>
      <c r="BA10" s="81"/>
      <c r="BB10" s="81" t="s">
        <v>2334</v>
      </c>
      <c r="BC10" s="81"/>
      <c r="BD10" s="135"/>
    </row>
    <row r="11" ht="18.75" customHeight="1">
      <c r="A11" s="81"/>
      <c r="B11" s="145"/>
      <c r="C11" s="97"/>
      <c r="D11" s="97"/>
      <c r="E11" s="146"/>
      <c r="F11" s="97"/>
      <c r="G11" s="97"/>
      <c r="H11" s="147"/>
      <c r="I11" s="97"/>
      <c r="J11" s="97"/>
      <c r="K11" s="97"/>
      <c r="L11" s="97"/>
      <c r="M11" s="97"/>
      <c r="N11" s="97"/>
      <c r="O11" s="97"/>
      <c r="P11" s="97"/>
      <c r="Q11" s="97"/>
      <c r="R11" s="14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148"/>
      <c r="AE11" s="97"/>
      <c r="AF11" s="149"/>
      <c r="AG11" s="97"/>
      <c r="AH11" s="97"/>
      <c r="AI11" s="150"/>
      <c r="AJ11" s="97"/>
      <c r="AK11" s="151"/>
      <c r="AL11" s="97"/>
      <c r="AM11" s="97"/>
      <c r="AN11" s="97"/>
      <c r="AO11" s="147"/>
      <c r="AP11" s="97"/>
      <c r="AQ11" s="97"/>
      <c r="AR11" s="97"/>
      <c r="AS11" s="97"/>
      <c r="AT11" s="97"/>
      <c r="AU11" s="44"/>
      <c r="AW11" s="135"/>
      <c r="AX11" s="152" t="s">
        <v>2335</v>
      </c>
      <c r="AY11" s="153"/>
      <c r="AZ11" s="153"/>
      <c r="BA11" s="153"/>
      <c r="BB11" s="153"/>
      <c r="BC11" s="153"/>
      <c r="BD11" s="154"/>
    </row>
    <row r="12" ht="18.75" customHeight="1">
      <c r="A12" s="81"/>
      <c r="B12" s="89" t="s">
        <v>2336</v>
      </c>
      <c r="AV12" s="89"/>
      <c r="AW12" s="81"/>
      <c r="AX12" s="155" t="s">
        <v>2331</v>
      </c>
      <c r="AZ12" s="156" t="str">
        <f>IFERROR(__xludf.DUMMYFUNCTION("IFERROR(INDEX(IMPORTRANGE('Referências'!B2,""Pilotos!A5:I""),
MATCH(
INDEX(IMPORTRANGE('Referências'!B5,""Pau de Sebo C95!B3:B""),
MATCH(LARGE(IMPORTRANGE('Referências'!B5,""Pau de Sebo C95!J3:J""),1),
IMPORTRANGE('Referências'!B5,""Pau de Sebo C95!J3:J"""&amp;"),0),1),
IMPORTRANGE('Referências'!B2,""Pilotos!A5:A""),0),9))
"),"MHL")</f>
        <v>MHL</v>
      </c>
      <c r="BB12" s="157" t="s">
        <v>2337</v>
      </c>
      <c r="BD12" s="81"/>
    </row>
    <row r="13" ht="18.75" customHeight="1">
      <c r="A13" s="82" t="str">
        <f>IFERROR(__xludf.DUMMYFUNCTION("IFERROR(QUERY(VOOS!B3:AW536,""SELECT * WHERE Col1='LOCAL' and Col41&lt;&gt;'REALIZADO' and Col41&lt;&gt;'ABORTIVA'"",0))"),"")</f>
        <v/>
      </c>
      <c r="B13" s="158"/>
      <c r="C13" s="30"/>
      <c r="D13" s="30"/>
      <c r="E13" s="159"/>
      <c r="F13" s="30"/>
      <c r="G13" s="30"/>
      <c r="H13" s="160"/>
      <c r="I13" s="30"/>
      <c r="J13" s="30"/>
      <c r="K13" s="30"/>
      <c r="L13" s="30"/>
      <c r="M13" s="30"/>
      <c r="N13" s="30"/>
      <c r="O13" s="30"/>
      <c r="P13" s="30"/>
      <c r="Q13" s="30"/>
      <c r="R13" s="16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161"/>
      <c r="AE13" s="30"/>
      <c r="AF13" s="162"/>
      <c r="AG13" s="30"/>
      <c r="AH13" s="30"/>
      <c r="AI13" s="163"/>
      <c r="AJ13" s="30"/>
      <c r="AK13" s="164"/>
      <c r="AL13" s="30"/>
      <c r="AM13" s="30"/>
      <c r="AN13" s="30"/>
      <c r="AO13" s="160"/>
      <c r="AP13" s="30"/>
      <c r="AQ13" s="30"/>
      <c r="AR13" s="30"/>
      <c r="AS13" s="30"/>
      <c r="AT13" s="30"/>
      <c r="AU13" s="165"/>
      <c r="AV13" s="30"/>
      <c r="AW13" s="81"/>
      <c r="AX13" s="155" t="s">
        <v>2332</v>
      </c>
      <c r="AZ13" s="156" t="str">
        <f>IFERROR(__xludf.DUMMYFUNCTION("IFERROR(INDEX(IMPORTRANGE('Referências'!B2,""Pilotos!A5:I""),
MATCH(
INDEX(IMPORTRANGE('Referências'!B5,""Pau de Sebo C97!B3:B""),
MATCH(LARGE(IMPORTRANGE('Referências'!B5,""Pau de Sebo C97!J3:J""),1),
IMPORTRANGE('Referências'!B5,""Pau de Sebo C97!J3:J"""&amp;"),0),1),
IMPORTRANGE('Referências'!B2,""Pilotos!A5:A""),0),9))
"),"LPS")</f>
        <v>LPS</v>
      </c>
      <c r="BB13" s="110" t="str">
        <f>IFERROR(__xludf.DUMMYFUNCTION("IFERROR(INDEX(IMPORTRANGE('Referências'!B2,""Pilotos!A5:I""),
MATCH(
INDEX(IMPORTRANGE('Referências'!B5,""Pau de sebo pilotos!B3:B""),
MATCH(LARGE(IMPORTRANGE('Referências'!B5,""Pau de sebo pilotos!F3:F""),1),
IMPORTRANGE('Referências'!B5,""Pau de sebo pi"&amp;"lotos!F3:F""),0),1),
IMPORTRANGE('Referências'!B2,""Pilotos!A5:A""),0),9))
"),"MHL")</f>
        <v>MHL</v>
      </c>
      <c r="BD13" s="81"/>
    </row>
    <row r="14" ht="18.75" customHeight="1">
      <c r="A14" s="82"/>
      <c r="B14" s="137"/>
      <c r="E14" s="38"/>
      <c r="H14" s="39"/>
      <c r="R14" s="39"/>
      <c r="AD14" s="40"/>
      <c r="AF14" s="43"/>
      <c r="AI14" s="138"/>
      <c r="AK14" s="42"/>
      <c r="AO14" s="39"/>
      <c r="AU14" s="44"/>
      <c r="AW14" s="81"/>
      <c r="AX14" s="155" t="s">
        <v>2333</v>
      </c>
      <c r="AZ14" s="156" t="str">
        <f>IFERROR(__xludf.DUMMYFUNCTION("IFERROR(INDEX(IMPORTRANGE('Referências'!B2,""Pilotos!A5:I""),
MATCH(
INDEX(IMPORTRANGE('Referências'!B5,""Pau de Sebo C98!B3:B""),
MATCH(LARGE(IMPORTRANGE('Referências'!B5,""Pau de Sebo C98!J3:J""),1),
IMPORTRANGE('Referências'!B5,""Pau de Sebo C98!J3:J"""&amp;"),0),1),
IMPORTRANGE('Referências'!B2,""Pilotos!A5:A""),0),9))
"),"CNI")</f>
        <v>CNI</v>
      </c>
      <c r="BD14" s="81"/>
    </row>
    <row r="15" ht="18.75" customHeight="1">
      <c r="A15" s="82"/>
      <c r="B15" s="137"/>
      <c r="E15" s="38"/>
      <c r="H15" s="39"/>
      <c r="R15" s="39"/>
      <c r="AD15" s="40"/>
      <c r="AF15" s="43"/>
      <c r="AI15" s="138"/>
      <c r="AK15" s="42"/>
      <c r="AO15" s="39"/>
      <c r="AU15" s="44"/>
      <c r="AW15" s="81"/>
      <c r="AX15" s="81"/>
      <c r="AY15" s="81"/>
      <c r="AZ15" s="81"/>
      <c r="BA15" s="81"/>
      <c r="BB15" s="81"/>
      <c r="BC15" s="81"/>
      <c r="BD15" s="81"/>
    </row>
    <row r="16" ht="18.75" customHeight="1">
      <c r="A16" s="82"/>
      <c r="B16" s="137"/>
      <c r="E16" s="38"/>
      <c r="H16" s="39"/>
      <c r="R16" s="39"/>
      <c r="AD16" s="40"/>
      <c r="AF16" s="43"/>
      <c r="AI16" s="138"/>
      <c r="AK16" s="42"/>
      <c r="AO16" s="39"/>
      <c r="AU16" s="44"/>
      <c r="AW16" s="81"/>
      <c r="AX16" s="136" t="s">
        <v>2338</v>
      </c>
      <c r="BD16" s="81"/>
    </row>
    <row r="17" ht="18.75" customHeight="1">
      <c r="A17" s="82"/>
      <c r="B17" s="137"/>
      <c r="E17" s="38"/>
      <c r="H17" s="39"/>
      <c r="R17" s="39"/>
      <c r="AD17" s="40"/>
      <c r="AF17" s="43"/>
      <c r="AI17" s="138"/>
      <c r="AK17" s="42"/>
      <c r="AO17" s="39"/>
      <c r="AU17" s="44"/>
      <c r="AW17" s="81"/>
      <c r="AX17" s="166" t="s">
        <v>7</v>
      </c>
      <c r="AZ17" s="166" t="s">
        <v>8</v>
      </c>
      <c r="BB17" s="166" t="s">
        <v>9</v>
      </c>
      <c r="BD17" s="81"/>
    </row>
    <row r="18" ht="15.0" customHeight="1">
      <c r="A18" s="81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167" t="str">
        <f>IFERROR(__xludf.DUMMYFUNCTION("IFERROR(SORT(FILTER(ADAPT!E3:E536,ADAPT!C3:C536 &lt;&gt; """"),FILTER(ADAPT!C3:C536,ADAPT!C3:C536 &lt;&gt; """"),""TRUE""))"),"PCN(-182)")</f>
        <v>PCN(-182)</v>
      </c>
      <c r="AZ18" s="167" t="str">
        <f>IFERROR(__xludf.DUMMYFUNCTION("IFERROR(SORT(FILTER(ADAPT!J3:J536,ADAPT!H3:H536 &lt;&gt; """"),FILTER(ADAPT!H3:H536,ADAPT!H3:H536 &lt;&gt; """"),""TRUE""))"),"STS(-486)")</f>
        <v>STS(-486)</v>
      </c>
      <c r="BB18" s="167" t="str">
        <f>IFERROR(__xludf.DUMMYFUNCTION("IFERROR(SORT(FILTER(ADAPT!O3:O536,ADAPT!M3:M536 &lt;&gt; """"),FILTER(ADAPT!M3:M536,ADAPT!M3:M536 &lt;&gt; """"),""TRUE""))"),"LOU(-414)")</f>
        <v>LOU(-414)</v>
      </c>
      <c r="BD18" s="81"/>
    </row>
    <row r="19" ht="15.0" customHeight="1">
      <c r="A19" s="81"/>
      <c r="B19" s="168">
        <f>IF(HOUR(AX2)&lt;8,TODAY()-1,TODAY())</f>
        <v>46199</v>
      </c>
      <c r="C19" s="30"/>
      <c r="D19" s="30"/>
      <c r="E19" s="30"/>
      <c r="F19" s="30"/>
      <c r="G19" s="30"/>
      <c r="H19" s="30"/>
      <c r="I19" s="30"/>
      <c r="J19" s="30"/>
      <c r="K19" s="30"/>
      <c r="L19" s="34"/>
      <c r="M19" s="81"/>
      <c r="N19" s="169">
        <f>B19+1</f>
        <v>46200</v>
      </c>
      <c r="O19" s="30"/>
      <c r="P19" s="30"/>
      <c r="Q19" s="30"/>
      <c r="R19" s="30"/>
      <c r="S19" s="30"/>
      <c r="T19" s="30"/>
      <c r="U19" s="30"/>
      <c r="V19" s="30"/>
      <c r="W19" s="30"/>
      <c r="X19" s="34"/>
      <c r="Y19" s="81"/>
      <c r="Z19" s="169">
        <f>N19+1</f>
        <v>46201</v>
      </c>
      <c r="AA19" s="30"/>
      <c r="AB19" s="30"/>
      <c r="AC19" s="30"/>
      <c r="AD19" s="30"/>
      <c r="AE19" s="30"/>
      <c r="AF19" s="30"/>
      <c r="AG19" s="30"/>
      <c r="AH19" s="30"/>
      <c r="AI19" s="30"/>
      <c r="AJ19" s="34"/>
      <c r="AK19" s="81"/>
      <c r="AL19" s="169">
        <f>Z19+1</f>
        <v>46202</v>
      </c>
      <c r="AM19" s="30"/>
      <c r="AN19" s="30"/>
      <c r="AO19" s="30"/>
      <c r="AP19" s="30"/>
      <c r="AQ19" s="30"/>
      <c r="AR19" s="30"/>
      <c r="AS19" s="30"/>
      <c r="AT19" s="30"/>
      <c r="AU19" s="30"/>
      <c r="AV19" s="34"/>
      <c r="AW19" s="81"/>
      <c r="AX19" s="167" t="str">
        <f>IFERROR(__xludf.DUMMYFUNCTION("""COMPUTED_VALUE"""),"GMR(-150)")</f>
        <v>GMR(-150)</v>
      </c>
      <c r="AZ19" s="167" t="str">
        <f>IFERROR(__xludf.DUMMYFUNCTION("""COMPUTED_VALUE"""),"HCK(-346)")</f>
        <v>HCK(-346)</v>
      </c>
      <c r="BB19" s="167" t="str">
        <f>IFERROR(__xludf.DUMMYFUNCTION("""COMPUTED_VALUE"""),"BRI(-343)")</f>
        <v>BRI(-343)</v>
      </c>
      <c r="BD19" s="81"/>
    </row>
    <row r="20" ht="15.0" customHeight="1">
      <c r="A20" s="81"/>
      <c r="B20" s="170"/>
      <c r="E20" s="171" t="s">
        <v>2339</v>
      </c>
      <c r="L20" s="45"/>
      <c r="M20" s="81"/>
      <c r="N20" s="172"/>
      <c r="Q20" s="69" t="s">
        <v>2339</v>
      </c>
      <c r="X20" s="45"/>
      <c r="Y20" s="81"/>
      <c r="Z20" s="172"/>
      <c r="AC20" s="69" t="s">
        <v>2339</v>
      </c>
      <c r="AJ20" s="45"/>
      <c r="AK20" s="81"/>
      <c r="AL20" s="172"/>
      <c r="AO20" s="69" t="s">
        <v>2339</v>
      </c>
      <c r="AV20" s="45"/>
      <c r="AW20" s="81"/>
      <c r="AX20" s="167" t="str">
        <f>IFERROR(__xludf.DUMMYFUNCTION("""COMPUTED_VALUE"""),"RAY(-148)")</f>
        <v>RAY(-148)</v>
      </c>
      <c r="AZ20" s="167" t="str">
        <f>IFERROR(__xludf.DUMMYFUNCTION("""COMPUTED_VALUE"""),"JVT(-334)")</f>
        <v>JVT(-334)</v>
      </c>
      <c r="BB20" s="167"/>
      <c r="BD20" s="81"/>
    </row>
    <row r="21" ht="15.0" customHeight="1">
      <c r="A21" s="81"/>
      <c r="B21" s="173" t="s">
        <v>19</v>
      </c>
      <c r="E21" s="75" t="str">
        <f t="array" ref="E21">INDEX(SBV!$B$2:$H536,MATCH(B$19,SBV!$B$2:$B536,0),MATCH($B21,SBV!$B$2:BD$2,0))</f>
        <v>#N/A</v>
      </c>
      <c r="L21" s="45"/>
      <c r="M21" s="81"/>
      <c r="N21" s="174" t="s">
        <v>19</v>
      </c>
      <c r="Q21" s="75" t="str">
        <f t="array" ref="Q21">INDEX(SBV!$B$2:$H536,MATCH(N$19,SBV!$B$2:$B536,0),MATCH($B21,SBV!$B$2:BD$2,0))</f>
        <v>#N/A</v>
      </c>
      <c r="X21" s="45"/>
      <c r="Y21" s="81"/>
      <c r="Z21" s="174" t="s">
        <v>19</v>
      </c>
      <c r="AC21" s="75" t="str">
        <f t="array" ref="AC21">INDEX(SBV!$B$2:$H536,MATCH(Z$19,SBV!$B$2:$B536,0),MATCH($B21,SBV!$B$2:BD$2,0))</f>
        <v>#N/A</v>
      </c>
      <c r="AJ21" s="45"/>
      <c r="AK21" s="81"/>
      <c r="AL21" s="174" t="s">
        <v>19</v>
      </c>
      <c r="AO21" s="75" t="str">
        <f t="array" ref="AO21">INDEX(SBV!$B$2:$H536,MATCH(AL$19,SBV!$B$2:$B536,0),MATCH($B21,SBV!$B$2:BD$2,0))</f>
        <v>#N/A</v>
      </c>
      <c r="AV21" s="45"/>
      <c r="AW21" s="81"/>
      <c r="AX21" s="167" t="str">
        <f>IFERROR(__xludf.DUMMYFUNCTION("""COMPUTED_VALUE"""),"JVT(-144)")</f>
        <v>JVT(-144)</v>
      </c>
      <c r="AZ21" s="167" t="str">
        <f>IFERROR(__xludf.DUMMYFUNCTION("""COMPUTED_VALUE"""),"MAT(-305)")</f>
        <v>MAT(-305)</v>
      </c>
      <c r="BB21" s="167" t="str">
        <f>IFERROR(__xludf.DUMMYFUNCTION("""COMPUTED_VALUE"""),"AEU(-305)")</f>
        <v>AEU(-305)</v>
      </c>
      <c r="BD21" s="81"/>
    </row>
    <row r="22" ht="15.0" customHeight="1">
      <c r="A22" s="81"/>
      <c r="B22" s="173" t="s">
        <v>20</v>
      </c>
      <c r="E22" s="75" t="str">
        <f t="array" ref="E22">INDEX(SBV!$B$2:$H536,MATCH(B$19,SBV!$B$2:$B536,0),MATCH($B22,SBV!$B$2:BD$2,0))</f>
        <v>#N/A</v>
      </c>
      <c r="L22" s="45"/>
      <c r="M22" s="81"/>
      <c r="N22" s="174" t="s">
        <v>20</v>
      </c>
      <c r="Q22" s="75" t="str">
        <f t="array" ref="Q22">INDEX(SBV!$B$2:$H536,MATCH(N$19,SBV!$B$2:$B536,0),MATCH($B22,SBV!$B$2:BD$2,0))</f>
        <v>#N/A</v>
      </c>
      <c r="X22" s="45"/>
      <c r="Y22" s="81"/>
      <c r="Z22" s="174" t="s">
        <v>20</v>
      </c>
      <c r="AC22" s="75" t="str">
        <f t="array" ref="AC22">INDEX(SBV!$B$2:$H536,MATCH(Z$19,SBV!$B$2:$B536,0),MATCH($B22,SBV!$B$2:BD$2,0))</f>
        <v>#N/A</v>
      </c>
      <c r="AJ22" s="45"/>
      <c r="AK22" s="81"/>
      <c r="AL22" s="174" t="s">
        <v>20</v>
      </c>
      <c r="AO22" s="75" t="str">
        <f t="array" ref="AO22">INDEX(SBV!$B$2:$H536,MATCH(AL$19,SBV!$B$2:$B536,0),MATCH($B22,SBV!$B$2:BD$2,0))</f>
        <v>#N/A</v>
      </c>
      <c r="AV22" s="45"/>
      <c r="AW22" s="81"/>
      <c r="AX22" s="167" t="str">
        <f>IFERROR(__xludf.DUMMYFUNCTION("""COMPUTED_VALUE"""),"HCK(-144)")</f>
        <v>HCK(-144)</v>
      </c>
      <c r="AZ22" s="167" t="str">
        <f>IFERROR(__xludf.DUMMYFUNCTION("""COMPUTED_VALUE"""),"MHL(-150)")</f>
        <v>MHL(-150)</v>
      </c>
      <c r="BB22" s="167" t="str">
        <f>IFERROR(__xludf.DUMMYFUNCTION("""COMPUTED_VALUE"""),"FER(-304)")</f>
        <v>FER(-304)</v>
      </c>
      <c r="BD22" s="81"/>
    </row>
    <row r="23" ht="15.0" customHeight="1">
      <c r="A23" s="81"/>
      <c r="B23" s="173" t="s">
        <v>21</v>
      </c>
      <c r="E23" s="75" t="str">
        <f t="array" ref="E23">INDEX(SBV!$B$2:$H536,MATCH(B$19,SBV!$B$2:$B536,0),MATCH($B23,SBV!$B$2:BD$2,0))</f>
        <v>#N/A</v>
      </c>
      <c r="L23" s="45"/>
      <c r="M23" s="81"/>
      <c r="N23" s="174" t="s">
        <v>21</v>
      </c>
      <c r="Q23" s="75" t="str">
        <f t="array" ref="Q23">INDEX(SBV!$B$2:$H536,MATCH(N$19,SBV!$B$2:$B536,0),MATCH($B23,SBV!$B$2:BD$2,0))</f>
        <v>#N/A</v>
      </c>
      <c r="X23" s="45"/>
      <c r="Y23" s="81"/>
      <c r="Z23" s="174" t="s">
        <v>21</v>
      </c>
      <c r="AC23" s="75" t="str">
        <f t="array" ref="AC23">INDEX(SBV!$B$2:$H536,MATCH(Z$19,SBV!$B$2:$B536,0),MATCH($B23,SBV!$B$2:BD$2,0))</f>
        <v>#N/A</v>
      </c>
      <c r="AJ23" s="45"/>
      <c r="AK23" s="81"/>
      <c r="AL23" s="174" t="s">
        <v>21</v>
      </c>
      <c r="AO23" s="75" t="str">
        <f t="array" ref="AO23">INDEX(SBV!$B$2:$H536,MATCH(AL$19,SBV!$B$2:$B536,0),MATCH($B23,SBV!$B$2:BD$2,0))</f>
        <v>#N/A</v>
      </c>
      <c r="AV23" s="45"/>
      <c r="AW23" s="81"/>
      <c r="AX23" s="167" t="str">
        <f>IFERROR(__xludf.DUMMYFUNCTION("""COMPUTED_VALUE"""),"BRJ(-144)")</f>
        <v>BRJ(-144)</v>
      </c>
      <c r="AZ23" s="167" t="str">
        <f>IFERROR(__xludf.DUMMYFUNCTION("""COMPUTED_VALUE"""),"LPS(-144)")</f>
        <v>LPS(-144)</v>
      </c>
      <c r="BB23" s="167" t="str">
        <f>IFERROR(__xludf.DUMMYFUNCTION("""COMPUTED_VALUE"""),"RAY(-275)")</f>
        <v>RAY(-275)</v>
      </c>
      <c r="BD23" s="81"/>
    </row>
    <row r="24" ht="15.0" customHeight="1">
      <c r="A24" s="81"/>
      <c r="B24" s="173" t="s">
        <v>1563</v>
      </c>
      <c r="E24" s="75" t="str">
        <f t="array" ref="E24">INDEX(SBV!$B$2:$H536,MATCH(B$19,SBV!$B$2:$B536,0),MATCH($B24,SBV!$B$2:BD$2,0))</f>
        <v>#N/A</v>
      </c>
      <c r="L24" s="45"/>
      <c r="M24" s="81"/>
      <c r="N24" s="174" t="s">
        <v>1563</v>
      </c>
      <c r="Q24" s="75" t="str">
        <f t="array" ref="Q24">INDEX(SBV!$B$2:$H536,MATCH(N$19,SBV!$B$2:$B536,0),MATCH($B24,SBV!$B$2:BD$2,0))</f>
        <v>#N/A</v>
      </c>
      <c r="X24" s="45"/>
      <c r="Y24" s="81"/>
      <c r="Z24" s="174" t="s">
        <v>1563</v>
      </c>
      <c r="AC24" s="75" t="str">
        <f t="array" ref="AC24">INDEX(SBV!$B$2:$H536,MATCH(Z$19,SBV!$B$2:$B536,0),MATCH($B24,SBV!$B$2:BD$2,0))</f>
        <v>#N/A</v>
      </c>
      <c r="AJ24" s="45"/>
      <c r="AK24" s="81"/>
      <c r="AL24" s="174" t="s">
        <v>1563</v>
      </c>
      <c r="AO24" s="75" t="str">
        <f t="array" ref="AO24">INDEX(SBV!$B$2:$H536,MATCH(AL$19,SBV!$B$2:$B536,0),MATCH($B24,SBV!$B$2:BD$2,0))</f>
        <v>#N/A</v>
      </c>
      <c r="AV24" s="45"/>
      <c r="AW24" s="81"/>
      <c r="AX24" s="167" t="str">
        <f>IFERROR(__xludf.DUMMYFUNCTION("""COMPUTED_VALUE"""),"BMK(-144)")</f>
        <v>BMK(-144)</v>
      </c>
      <c r="AZ24" s="167" t="str">
        <f>IFERROR(__xludf.DUMMYFUNCTION("""COMPUTED_VALUE"""),"FIA(-143)")</f>
        <v>FIA(-143)</v>
      </c>
      <c r="BB24" s="167"/>
      <c r="BD24" s="81"/>
    </row>
    <row r="25" ht="15.0" customHeight="1">
      <c r="A25" s="81"/>
      <c r="B25" s="173" t="s">
        <v>1564</v>
      </c>
      <c r="E25" s="75" t="str">
        <f t="array" ref="E25">INDEX(SBV!$B$2:$H536,MATCH(B$19,SBV!$B$2:$B536,0),MATCH($B25,SBV!$B$2:BD$2,0))</f>
        <v>#N/A</v>
      </c>
      <c r="L25" s="45"/>
      <c r="M25" s="81"/>
      <c r="N25" s="174" t="s">
        <v>1564</v>
      </c>
      <c r="Q25" s="75" t="str">
        <f t="array" ref="Q25">INDEX(SBV!$B$2:$H536,MATCH(N$19,SBV!$B$2:$B536,0),MATCH($B25,SBV!$B$2:BD$2,0))</f>
        <v>#N/A</v>
      </c>
      <c r="X25" s="45"/>
      <c r="Y25" s="81"/>
      <c r="Z25" s="174" t="s">
        <v>1564</v>
      </c>
      <c r="AC25" s="75" t="str">
        <f t="array" ref="AC25">INDEX(SBV!$B$2:$H536,MATCH(Z$19,SBV!$B$2:$B536,0),MATCH($B25,SBV!$B$2:BD$2,0))</f>
        <v>#N/A</v>
      </c>
      <c r="AJ25" s="45"/>
      <c r="AK25" s="81"/>
      <c r="AL25" s="174" t="s">
        <v>1564</v>
      </c>
      <c r="AO25" s="75" t="str">
        <f t="array" ref="AO25">INDEX(SBV!$B$2:$H536,MATCH(AL$19,SBV!$B$2:$B536,0),MATCH($B25,SBV!$B$2:BD$2,0))</f>
        <v>#N/A</v>
      </c>
      <c r="AV25" s="45"/>
      <c r="AW25" s="81"/>
      <c r="AX25" s="167" t="str">
        <f>IFERROR(__xludf.DUMMYFUNCTION("""COMPUTED_VALUE"""),"ISA(-144)")</f>
        <v>ISA(-144)</v>
      </c>
      <c r="AZ25" s="167" t="str">
        <f>IFERROR(__xludf.DUMMYFUNCTION("""COMPUTED_VALUE"""),"SEI(-143)")</f>
        <v>SEI(-143)</v>
      </c>
      <c r="BB25" s="167" t="str">
        <f>IFERROR(__xludf.DUMMYFUNCTION("""COMPUTED_VALUE"""),"SLS(-158)")</f>
        <v>SLS(-158)</v>
      </c>
      <c r="BD25" s="81"/>
    </row>
    <row r="26" ht="15.0" customHeight="1">
      <c r="A26" s="81"/>
      <c r="B26" s="175" t="s">
        <v>1565</v>
      </c>
      <c r="C26" s="97"/>
      <c r="D26" s="97"/>
      <c r="E26" s="75" t="str">
        <f t="array" ref="E26">INDEX(SBV!$B$2:$I536,MATCH(B$19,SBV!$B$2:$B536,0),MATCH($B26,SBV!$B$2:BD$2,0))</f>
        <v>#N/A</v>
      </c>
      <c r="L26" s="45"/>
      <c r="M26" s="81"/>
      <c r="N26" s="176" t="s">
        <v>1565</v>
      </c>
      <c r="O26" s="97"/>
      <c r="P26" s="97"/>
      <c r="Q26" s="75" t="str">
        <f t="array" ref="Q26">INDEX(SBV!$B$2:$I536,MATCH(N$19,SBV!$B$2:$B536,0),MATCH($B26,SBV!$B$2:BD$2,0))</f>
        <v>#N/A</v>
      </c>
      <c r="X26" s="45"/>
      <c r="Y26" s="81"/>
      <c r="Z26" s="176" t="s">
        <v>1565</v>
      </c>
      <c r="AA26" s="97"/>
      <c r="AB26" s="97"/>
      <c r="AC26" s="75" t="str">
        <f t="array" ref="AC26">INDEX(SBV!$B$2:$I536,MATCH(Z$19,SBV!$B$2:$B536,0),MATCH($B26,SBV!$B$2:BD$2,0))</f>
        <v>#N/A</v>
      </c>
      <c r="AJ26" s="45"/>
      <c r="AK26" s="81"/>
      <c r="AL26" s="176" t="s">
        <v>1565</v>
      </c>
      <c r="AM26" s="97"/>
      <c r="AN26" s="97"/>
      <c r="AO26" s="75" t="str">
        <f t="array" ref="AO26">INDEX(SBV!$B$2:$I536,MATCH(AL$19,SBV!$B$2:$B536,0),MATCH($B26,SBV!$B$2:BD$2,0))</f>
        <v>#N/A</v>
      </c>
      <c r="AV26" s="45"/>
      <c r="AW26" s="81"/>
      <c r="AX26" s="167" t="str">
        <f>IFERROR(__xludf.DUMMYFUNCTION("""COMPUTED_VALUE"""),"KVN(-143)")</f>
        <v>KVN(-143)</v>
      </c>
      <c r="AZ26" s="167" t="str">
        <f>IFERROR(__xludf.DUMMYFUNCTION("""COMPUTED_VALUE"""),"MES(-140)")</f>
        <v>MES(-140)</v>
      </c>
      <c r="BB26" s="167"/>
      <c r="BD26" s="81"/>
    </row>
    <row r="27" ht="15.0" customHeigh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 t="str">
        <f>IFERROR(__xludf.DUMMYFUNCTION("""COMPUTED_VALUE"""),"MES(-134)")</f>
        <v>MES(-134)</v>
      </c>
      <c r="AY27" s="81"/>
      <c r="AZ27" s="81" t="str">
        <f>IFERROR(__xludf.DUMMYFUNCTION("""COMPUTED_VALUE"""),"AEU(-134)")</f>
        <v>AEU(-134)</v>
      </c>
      <c r="BA27" s="81"/>
      <c r="BB27" s="81" t="str">
        <f>IFERROR(__xludf.DUMMYFUNCTION("""COMPUTED_VALUE"""),"DOG(-155)")</f>
        <v>DOG(-155)</v>
      </c>
      <c r="BC27" s="81"/>
      <c r="BD27" s="81"/>
    </row>
    <row r="28" ht="15.0" customHeight="1">
      <c r="A28" s="81"/>
      <c r="B28" s="134" t="s">
        <v>2340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81"/>
      <c r="Z28" s="177" t="s">
        <v>2264</v>
      </c>
      <c r="AC28" s="177" t="s">
        <v>2265</v>
      </c>
      <c r="AE28" s="177" t="s">
        <v>2266</v>
      </c>
      <c r="AH28" s="177" t="s">
        <v>2268</v>
      </c>
      <c r="AK28" s="177" t="s">
        <v>2341</v>
      </c>
      <c r="AN28" s="178" t="s">
        <v>2342</v>
      </c>
      <c r="BD28" s="81"/>
    </row>
    <row r="29" ht="15.0" customHeight="1">
      <c r="A29" s="95"/>
      <c r="B29" s="179" t="str">
        <f>IFERROR(__xludf.DUMMYFUNCTION("IFERROR(QUERY('AVISOS OPERACIONAIS'!B3:AJ536,""SELECT Col1 WHERE Col30='VÁLIDO'"",0))"),"")</f>
        <v/>
      </c>
      <c r="E29" s="180" t="str">
        <f>IFERROR(__xludf.DUMMYFUNCTION("IFERROR(QUERY('AVISOS OPERACIONAIS'!B3:AJ536,""SELECT Col10 WHERE Col30='VÁLIDO'"",0))"),"")</f>
        <v/>
      </c>
      <c r="Y29" s="95"/>
      <c r="Z29" s="180" t="str">
        <f>IFERROR(__xludf.DUMMYFUNCTION("QUERY(ANV!B5:B20,""select Col1 where Col1 &lt;&gt; '' and Col1 &lt;&gt; 'ANV' and Col1 &lt;&gt; 'AERONAVES DISPONÍVEIS' and Col1 &lt;&gt; 'AERONAVES INDISPONÍVEIS'"")"),"C-97 2020")</f>
        <v>C-97 2020</v>
      </c>
      <c r="AC29" s="181" t="str">
        <f t="array" ref="AC29">IFERROR(INDEX(ANV!$B$5:$G$20,MATCH($Z29,ANV!B$5:B$20,0),2),"")</f>
        <v>DI</v>
      </c>
      <c r="AE29" s="182" t="str">
        <f t="array" ref="AE29">IFERROR(INDEX(ANV!$B$5:$G$20,MATCH($Z29,ANV!$B$5:$B$20,0),3),"")</f>
        <v/>
      </c>
      <c r="AH29" s="182" t="str">
        <f t="array" ref="AH29">IFERROR(INDEX(ANV!$B$5:$G$20,MATCH($Z29,ANV!$B$5:$B$20,0),5),"")</f>
        <v/>
      </c>
      <c r="AK29" s="183">
        <f t="array" ref="AK29">IFERROR(INDEX(ANV!$B$5:$G$20,MATCH($Z29,ANV!$B$5:$B$20,0),6),"")</f>
        <v>0.84375</v>
      </c>
      <c r="AN29" s="181" t="str">
        <f t="array" ref="AN29">IFERROR(INDEX(ANV!$B$5:$G$20,MATCH($Z29,ANV!$B$5:$B$20,0),4),"")</f>
        <v/>
      </c>
      <c r="BD29" s="95"/>
    </row>
    <row r="30" ht="15.0" customHeight="1">
      <c r="A30" s="95"/>
      <c r="B30" s="179"/>
      <c r="E30" s="180"/>
      <c r="Y30" s="95"/>
      <c r="Z30" s="181" t="str">
        <f>IFERROR(__xludf.DUMMYFUNCTION("""COMPUTED_VALUE"""),"C-95 2303")</f>
        <v>C-95 2303</v>
      </c>
      <c r="AC30" s="181" t="str">
        <f t="array" ref="AC30">IFERROR(INDEX(ANV!$B$5:$G$20,MATCH($Z30,ANV!B$5:B$20,0),2),"")</f>
        <v>DO</v>
      </c>
      <c r="AE30" s="182">
        <f t="array" ref="AE30">IFERROR(INDEX(ANV!$B$5:$G$20,MATCH($Z30,ANV!$B$5:$B$20,0),3),"")</f>
        <v>46196</v>
      </c>
      <c r="AH30" s="181" t="s">
        <v>1562</v>
      </c>
      <c r="AK30" s="183">
        <f t="array" ref="AK30">IFERROR(INDEX(ANV!$B$5:$G$20,MATCH($Z30,ANV!$B$5:$B$20,0),6),"")</f>
        <v>2.579861111</v>
      </c>
      <c r="AN30" s="181" t="str">
        <f t="array" ref="AN30">IFERROR(INDEX(ANV!$B$5:$G$20,MATCH($Z30,ANV!$B$5:$B$20,0),4),"")</f>
        <v>ANV SEM P.A.</v>
      </c>
      <c r="BD30" s="95"/>
    </row>
    <row r="31" ht="15.0" customHeight="1">
      <c r="A31" s="95"/>
      <c r="B31" s="179"/>
      <c r="E31" s="184"/>
      <c r="Y31" s="95"/>
      <c r="Z31" s="180" t="str">
        <f>IFERROR(__xludf.DUMMYFUNCTION("""COMPUTED_VALUE"""),"C-98 2722")</f>
        <v>C-98 2722</v>
      </c>
      <c r="AC31" s="181" t="str">
        <f t="array" ref="AC31">IFERROR(INDEX(ANV!$B$5:$G$20,MATCH($Z31,ANV!B$5:B$20,0),2),"")</f>
        <v>DI</v>
      </c>
      <c r="AE31" s="182" t="str">
        <f t="array" ref="AE31">IFERROR(INDEX(ANV!$B$5:$G$20,MATCH($Z31,ANV!$B$5:$B$20,0),3),"")</f>
        <v/>
      </c>
      <c r="AH31" s="182" t="str">
        <f t="array" ref="AH31">IFERROR(INDEX(ANV!$B$5:$G$20,MATCH($Z31,ANV!$B$5:$B$20,0),5),"")</f>
        <v/>
      </c>
      <c r="AK31" s="183">
        <f t="array" ref="AK31">IFERROR(INDEX(ANV!$B$5:$G$20,MATCH($Z31,ANV!$B$5:$B$20,0),6),"")</f>
        <v>3.4375</v>
      </c>
      <c r="AN31" s="181" t="str">
        <f t="array" ref="AN31">IFERROR(INDEX(ANV!$B$5:$G$20,MATCH($Z31,ANV!$B$5:$B$20,0),4),"")</f>
        <v/>
      </c>
      <c r="BD31" s="95"/>
    </row>
    <row r="32" ht="15.0" customHeight="1">
      <c r="A32" s="95"/>
      <c r="B32" s="179"/>
      <c r="E32" s="180"/>
      <c r="Y32" s="95"/>
      <c r="Z32" s="180" t="str">
        <f>IFERROR(__xludf.DUMMYFUNCTION("""COMPUTED_VALUE"""),"C-98 2719")</f>
        <v>C-98 2719</v>
      </c>
      <c r="AC32" s="181" t="str">
        <f t="array" ref="AC32">IFERROR(INDEX(ANV!$B$5:$G$20,MATCH($Z32,ANV!B$5:B$20,0),2),"")</f>
        <v>II</v>
      </c>
      <c r="AE32" s="182">
        <f t="array" ref="AE32">IFERROR(INDEX(ANV!$B$5:$G$20,MATCH($Z32,ANV!$B$5:$B$20,0),3),"")</f>
        <v>46169</v>
      </c>
      <c r="AH32" s="182">
        <f t="array" ref="AH32">IFERROR(INDEX(ANV!$B$5:$G$20,MATCH($Z32,ANV!$B$5:$B$20,0),5),"")</f>
        <v>46202</v>
      </c>
      <c r="AK32" s="183">
        <f t="array" ref="AK32">IFERROR(INDEX(ANV!$B$5:$G$20,MATCH($Z32,ANV!$B$5:$B$20,0),6),"")</f>
        <v>4.166666667</v>
      </c>
      <c r="AN32" s="181" t="str">
        <f t="array" ref="AN32">IFERROR(INDEX(ANV!$B$5:$G$20,MATCH($Z32,ANV!$B$5:$B$20,0),4),"")</f>
        <v>ID 0A,15,20,MG / 4300 FH / HSI</v>
      </c>
      <c r="BD32" s="95"/>
    </row>
    <row r="33" ht="15.0" customHeight="1">
      <c r="A33" s="95"/>
      <c r="B33" s="179"/>
      <c r="E33" s="180"/>
      <c r="Y33" s="95"/>
      <c r="Z33" s="180"/>
      <c r="AC33" s="181" t="str">
        <f t="array" ref="AC33">IFERROR(INDEX(ANV!$B$5:$G$20,MATCH($Z33,ANV!B$5:B$20,0),2),"")</f>
        <v/>
      </c>
      <c r="AE33" s="182" t="str">
        <f t="array" ref="AE33">IFERROR(INDEX(ANV!$B$5:$G$20,MATCH($Z33,ANV!$B$5:$B$20,0),3),"")</f>
        <v/>
      </c>
      <c r="AH33" s="182" t="str">
        <f t="array" ref="AH33">IFERROR(INDEX(ANV!$B$5:$G$20,MATCH($Z33,ANV!$B$5:$B$20,0),5),"")</f>
        <v/>
      </c>
      <c r="AK33" s="183" t="str">
        <f t="array" ref="AK33">IFERROR(INDEX(ANV!$B$5:$G$20,MATCH($Z33,ANV!$B$5:$B$20,0),6),"")</f>
        <v/>
      </c>
      <c r="AN33" s="181" t="str">
        <f t="array" ref="AN33">IFERROR(INDEX(ANV!$B$5:$G$20,MATCH($Z33,ANV!$B$5:$B$20,0),4),"")</f>
        <v/>
      </c>
      <c r="BD33" s="95"/>
    </row>
    <row r="34" ht="15.0" customHeight="1">
      <c r="A34" s="95"/>
      <c r="B34" s="185"/>
      <c r="E34" s="180"/>
      <c r="Y34" s="95"/>
      <c r="Z34" s="180"/>
      <c r="AC34" s="186" t="str">
        <f t="array" ref="AC34">IFERROR(INDEX(ANV!$B$5:$G$20,MATCH($Z34,ANV!B$5:B$20,0),2),"")</f>
        <v/>
      </c>
      <c r="AE34" s="187" t="str">
        <f t="array" ref="AE34">IFERROR(INDEX(ANV!$B$5:$G$20,MATCH($Z34,ANV!$B$5:$B$20,0),3),"")</f>
        <v/>
      </c>
      <c r="AH34" s="188" t="str">
        <f t="array" ref="AH34">IFERROR(INDEX(ANV!$B$5:$G$20,MATCH($Z34,ANV!$B$5:$B$20,0),5),"")</f>
        <v/>
      </c>
      <c r="AK34" s="189" t="str">
        <f t="array" ref="AK34">IFERROR(INDEX(ANV!$B$5:$G$20,MATCH($Z34,ANV!$B$5:$B$20,0),6),"")</f>
        <v/>
      </c>
      <c r="AN34" s="186" t="str">
        <f t="array" ref="AN34">IFERROR(INDEX(ANV!$B$5:$G$20,MATCH($Z34,ANV!$B$5:$B$20,0),4),"")</f>
        <v/>
      </c>
      <c r="BD34" s="95"/>
    </row>
    <row r="35" ht="15.0" customHeight="1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 t="str">
        <f>IFERROR(__xludf.DUMMYFUNCTION("""COMPUTED_VALUE"""),"FIA(-145)")</f>
        <v>FIA(-145)</v>
      </c>
      <c r="BC35" s="81"/>
      <c r="BD35" s="81"/>
    </row>
    <row r="36" ht="15.0" customHeight="1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 t="str">
        <f>IFERROR(__xludf.DUMMYFUNCTION("""COMPUTED_VALUE"""),"CNI(-144)")</f>
        <v>CNI(-144)</v>
      </c>
      <c r="BC36" s="81"/>
      <c r="BD36" s="81"/>
    </row>
    <row r="37" ht="15.0" customHeight="1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</row>
    <row r="38" ht="15.0" customHeight="1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</row>
    <row r="39" ht="15.0" customHeight="1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</row>
    <row r="40" ht="15.0" customHeight="1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</row>
    <row r="41" ht="15.0" customHeight="1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</row>
    <row r="42" ht="15.0" customHeight="1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</row>
    <row r="43" ht="15.0" customHeight="1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</row>
    <row r="44" ht="15.0" customHeight="1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</row>
    <row r="45" ht="15.0" customHeight="1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</row>
    <row r="46" ht="15.0" customHeight="1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</row>
    <row r="47" ht="15.0" customHeight="1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</row>
    <row r="48" ht="15.0" customHeight="1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</row>
    <row r="49" ht="15.0" customHeight="1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</row>
    <row r="50" ht="15.0" customHeight="1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</row>
    <row r="51" ht="15.0" customHeight="1">
      <c r="A51" s="81"/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</row>
    <row r="52" ht="15.0" customHeight="1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</row>
    <row r="53" ht="15.0" customHeight="1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</row>
    <row r="54" ht="15.0" customHeight="1">
      <c r="A54" s="81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</row>
    <row r="55" ht="15.0" customHeight="1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</row>
    <row r="56" ht="15.0" customHeight="1">
      <c r="A56" s="81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</row>
    <row r="57" ht="15.0" customHeight="1">
      <c r="A57" s="81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</row>
    <row r="58" ht="15.0" customHeight="1">
      <c r="A58" s="81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</row>
    <row r="59" ht="15.0" customHeight="1">
      <c r="A59" s="81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</row>
    <row r="60" ht="15.0" customHeight="1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</row>
    <row r="61" ht="15.0" customHeight="1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</row>
    <row r="62" ht="15.0" customHeight="1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</row>
    <row r="63" ht="15.0" customHeight="1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</row>
    <row r="64" ht="15.0" customHeight="1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</row>
    <row r="65" ht="15.0" customHeight="1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</row>
    <row r="66" ht="15.0" customHeight="1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</row>
    <row r="67" ht="15.0" customHeight="1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</row>
    <row r="68" ht="15.0" customHeight="1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</row>
    <row r="69" ht="15.0" customHeight="1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</row>
    <row r="70" ht="15.0" customHeight="1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</row>
    <row r="71" ht="15.0" customHeight="1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</row>
    <row r="72" ht="15.0" customHeight="1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</row>
    <row r="73" ht="15.0" customHeight="1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</row>
    <row r="74" ht="15.0" customHeight="1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</row>
    <row r="75" ht="15.0" customHeight="1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</row>
    <row r="76" ht="15.0" customHeight="1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</row>
    <row r="77" ht="15.0" customHeight="1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</row>
    <row r="78" ht="15.0" customHeight="1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</row>
    <row r="79" ht="15.0" customHeight="1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</row>
    <row r="80" ht="15.0" customHeight="1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</row>
    <row r="81" ht="15.0" customHeight="1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</row>
    <row r="82" ht="15.0" customHeight="1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</row>
    <row r="83" ht="15.0" customHeight="1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</row>
    <row r="84" ht="15.0" customHeight="1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</row>
    <row r="85" ht="15.0" customHeight="1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</row>
    <row r="86" ht="15.0" customHeight="1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</row>
    <row r="87" ht="15.0" customHeight="1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</row>
    <row r="88" ht="15.0" customHeight="1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</row>
    <row r="89" ht="15.0" customHeight="1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</row>
    <row r="90" ht="15.0" customHeight="1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</row>
    <row r="91" ht="15.0" customHeight="1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</row>
    <row r="92" ht="15.0" customHeight="1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</row>
    <row r="93" ht="15.0" customHeight="1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</row>
    <row r="94" ht="15.0" customHeight="1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</row>
    <row r="95" ht="15.0" customHeight="1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</row>
    <row r="96" ht="15.0" customHeight="1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</row>
    <row r="97" ht="15.0" customHeight="1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</row>
    <row r="98" ht="15.0" customHeight="1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</row>
    <row r="99" ht="15.0" customHeight="1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</row>
    <row r="100" ht="15.0" customHeight="1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</row>
    <row r="101" ht="15.0" customHeight="1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</row>
    <row r="102" ht="15.0" customHeight="1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</row>
    <row r="103" ht="15.0" customHeight="1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</row>
    <row r="104" ht="15.0" customHeight="1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</row>
    <row r="105" ht="15.0" customHeight="1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</row>
    <row r="106" ht="15.0" customHeight="1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</row>
    <row r="107" ht="15.0" customHeight="1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</row>
    <row r="108" ht="15.0" customHeight="1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</row>
    <row r="109" ht="15.0" customHeight="1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</row>
    <row r="110" ht="15.0" customHeight="1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</row>
    <row r="111" ht="15.0" customHeight="1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</row>
    <row r="112" ht="15.0" customHeight="1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</row>
    <row r="113" ht="15.0" customHeight="1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</row>
    <row r="114" ht="15.0" customHeight="1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</row>
    <row r="115" ht="15.0" customHeight="1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</row>
    <row r="116" ht="15.0" customHeight="1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</row>
    <row r="117" ht="15.0" customHeight="1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</row>
    <row r="118" ht="15.0" customHeight="1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</row>
    <row r="119" ht="15.0" customHeight="1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</row>
    <row r="120" ht="15.0" customHeight="1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</row>
    <row r="121" ht="15.0" customHeight="1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</row>
    <row r="122" ht="15.0" customHeight="1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</row>
    <row r="123" ht="15.0" customHeight="1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</row>
    <row r="124" ht="15.0" customHeight="1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</row>
    <row r="125" ht="15.0" customHeight="1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</row>
    <row r="126" ht="15.0" customHeight="1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</row>
    <row r="127" ht="15.0" customHeight="1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</row>
    <row r="128" ht="15.0" customHeight="1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</row>
    <row r="129" ht="15.0" customHeight="1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</row>
    <row r="130" ht="15.0" customHeight="1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</row>
    <row r="131" ht="15.0" customHeight="1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</row>
    <row r="132" ht="15.0" customHeight="1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</row>
    <row r="133" ht="15.0" customHeight="1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</row>
    <row r="134" ht="15.0" customHeight="1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</row>
    <row r="135" ht="15.0" customHeight="1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</row>
    <row r="136" ht="15.0" customHeight="1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</row>
    <row r="137" ht="15.0" customHeight="1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</row>
    <row r="138" ht="15.0" customHeight="1">
      <c r="A138" s="81"/>
      <c r="B138" s="81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1"/>
    </row>
    <row r="139" ht="15.0" customHeight="1">
      <c r="A139" s="81"/>
      <c r="B139" s="81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</row>
    <row r="140" ht="15.0" customHeight="1">
      <c r="A140" s="81"/>
      <c r="B140" s="81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</row>
    <row r="141" ht="15.0" customHeight="1">
      <c r="A141" s="81"/>
      <c r="B141" s="81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1"/>
    </row>
    <row r="142" ht="15.0" customHeight="1">
      <c r="A142" s="81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1"/>
    </row>
    <row r="143" ht="15.0" customHeight="1">
      <c r="A143" s="81"/>
      <c r="B143" s="81"/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81"/>
      <c r="AZ143" s="81"/>
      <c r="BA143" s="81"/>
      <c r="BB143" s="81"/>
      <c r="BC143" s="81"/>
      <c r="BD143" s="81"/>
    </row>
    <row r="144" ht="15.0" customHeight="1">
      <c r="A144" s="81"/>
      <c r="B144" s="81"/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81"/>
      <c r="AO144" s="81"/>
      <c r="AP144" s="81"/>
      <c r="AQ144" s="81"/>
      <c r="AR144" s="81"/>
      <c r="AS144" s="81"/>
      <c r="AT144" s="81"/>
      <c r="AU144" s="81"/>
      <c r="AV144" s="81"/>
      <c r="AW144" s="81"/>
      <c r="AX144" s="81"/>
      <c r="AY144" s="81"/>
      <c r="AZ144" s="81"/>
      <c r="BA144" s="81"/>
      <c r="BB144" s="81"/>
      <c r="BC144" s="81"/>
      <c r="BD144" s="81"/>
    </row>
    <row r="145" ht="15.0" customHeight="1">
      <c r="A145" s="81"/>
      <c r="B145" s="81"/>
      <c r="C145" s="81"/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1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81"/>
      <c r="AZ145" s="81"/>
      <c r="BA145" s="81"/>
      <c r="BB145" s="81"/>
      <c r="BC145" s="81"/>
      <c r="BD145" s="81"/>
    </row>
    <row r="146" ht="15.0" customHeight="1">
      <c r="A146" s="81"/>
      <c r="B146" s="81"/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1"/>
    </row>
    <row r="147" ht="15.0" customHeight="1">
      <c r="A147" s="81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  <c r="AY147" s="81"/>
      <c r="AZ147" s="81"/>
      <c r="BA147" s="81"/>
      <c r="BB147" s="81"/>
      <c r="BC147" s="81"/>
      <c r="BD147" s="81"/>
    </row>
    <row r="148" ht="15.0" customHeight="1">
      <c r="A148" s="81"/>
      <c r="B148" s="81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  <c r="AT148" s="81"/>
      <c r="AU148" s="81"/>
      <c r="AV148" s="81"/>
      <c r="AW148" s="81"/>
      <c r="AX148" s="81"/>
      <c r="AY148" s="81"/>
      <c r="AZ148" s="81"/>
      <c r="BA148" s="81"/>
      <c r="BB148" s="81"/>
      <c r="BC148" s="81"/>
      <c r="BD148" s="81"/>
    </row>
    <row r="149" ht="15.0" customHeight="1">
      <c r="A149" s="81"/>
      <c r="B149" s="81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  <c r="AY149" s="81"/>
      <c r="AZ149" s="81"/>
      <c r="BA149" s="81"/>
      <c r="BB149" s="81"/>
      <c r="BC149" s="81"/>
      <c r="BD149" s="81"/>
    </row>
    <row r="150" ht="15.0" customHeight="1">
      <c r="A150" s="81"/>
      <c r="B150" s="81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1"/>
      <c r="AU150" s="81"/>
      <c r="AV150" s="81"/>
      <c r="AW150" s="81"/>
      <c r="AX150" s="81"/>
      <c r="AY150" s="81"/>
      <c r="AZ150" s="81"/>
      <c r="BA150" s="81"/>
      <c r="BB150" s="81"/>
      <c r="BC150" s="81"/>
      <c r="BD150" s="81"/>
    </row>
    <row r="151" ht="15.0" customHeight="1">
      <c r="A151" s="81"/>
      <c r="B151" s="81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1"/>
      <c r="AU151" s="81"/>
      <c r="AV151" s="81"/>
      <c r="AW151" s="81"/>
      <c r="AX151" s="81"/>
      <c r="AY151" s="81"/>
      <c r="AZ151" s="81"/>
      <c r="BA151" s="81"/>
      <c r="BB151" s="81"/>
      <c r="BC151" s="81"/>
      <c r="BD151" s="81"/>
    </row>
    <row r="152" ht="15.0" customHeight="1">
      <c r="A152" s="81"/>
      <c r="B152" s="81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1"/>
      <c r="AU152" s="81"/>
      <c r="AV152" s="81"/>
      <c r="AW152" s="81"/>
      <c r="AX152" s="81"/>
      <c r="AY152" s="81"/>
      <c r="AZ152" s="81"/>
      <c r="BA152" s="81"/>
      <c r="BB152" s="81"/>
      <c r="BC152" s="81"/>
      <c r="BD152" s="81"/>
    </row>
    <row r="153" ht="15.0" customHeight="1">
      <c r="A153" s="81"/>
      <c r="B153" s="81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1"/>
      <c r="AU153" s="81"/>
      <c r="AV153" s="81"/>
      <c r="AW153" s="81"/>
      <c r="AX153" s="81"/>
      <c r="AY153" s="81"/>
      <c r="AZ153" s="81"/>
      <c r="BA153" s="81"/>
      <c r="BB153" s="81"/>
      <c r="BC153" s="81"/>
      <c r="BD153" s="81"/>
    </row>
    <row r="154" ht="15.0" customHeight="1">
      <c r="A154" s="81"/>
      <c r="B154" s="81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1"/>
    </row>
    <row r="155" ht="15.0" customHeight="1">
      <c r="A155" s="81"/>
      <c r="B155" s="81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1"/>
      <c r="AU155" s="81"/>
      <c r="AV155" s="81"/>
      <c r="AW155" s="81"/>
      <c r="AX155" s="81"/>
      <c r="AY155" s="81"/>
      <c r="AZ155" s="81"/>
      <c r="BA155" s="81"/>
      <c r="BB155" s="81"/>
      <c r="BC155" s="81"/>
      <c r="BD155" s="81"/>
    </row>
    <row r="156" ht="15.0" customHeight="1">
      <c r="A156" s="81"/>
      <c r="B156" s="81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1"/>
      <c r="AU156" s="81"/>
      <c r="AV156" s="81"/>
      <c r="AW156" s="81"/>
      <c r="AX156" s="81"/>
      <c r="AY156" s="81"/>
      <c r="AZ156" s="81"/>
      <c r="BA156" s="81"/>
      <c r="BB156" s="81"/>
      <c r="BC156" s="81"/>
      <c r="BD156" s="81"/>
    </row>
    <row r="157" ht="15.0" customHeight="1">
      <c r="A157" s="81"/>
      <c r="B157" s="81"/>
      <c r="C157" s="81"/>
      <c r="D157" s="81"/>
      <c r="E157" s="81"/>
      <c r="F157" s="81"/>
      <c r="G157" s="81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1"/>
      <c r="AY157" s="81"/>
      <c r="AZ157" s="81"/>
      <c r="BA157" s="81"/>
      <c r="BB157" s="81"/>
      <c r="BC157" s="81"/>
      <c r="BD157" s="81"/>
    </row>
    <row r="158" ht="15.0" customHeight="1">
      <c r="A158" s="81"/>
      <c r="B158" s="81"/>
      <c r="C158" s="81"/>
      <c r="D158" s="81"/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1"/>
      <c r="AN158" s="81"/>
      <c r="AO158" s="81"/>
      <c r="AP158" s="81"/>
      <c r="AQ158" s="81"/>
      <c r="AR158" s="81"/>
      <c r="AS158" s="81"/>
      <c r="AT158" s="81"/>
      <c r="AU158" s="81"/>
      <c r="AV158" s="81"/>
      <c r="AW158" s="81"/>
      <c r="AX158" s="81"/>
      <c r="AY158" s="81"/>
      <c r="AZ158" s="81"/>
      <c r="BA158" s="81"/>
      <c r="BB158" s="81"/>
      <c r="BC158" s="81"/>
      <c r="BD158" s="81"/>
    </row>
    <row r="159" ht="15.0" customHeight="1">
      <c r="A159" s="81"/>
      <c r="B159" s="81"/>
      <c r="C159" s="81"/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  <c r="AH159" s="81"/>
      <c r="AI159" s="81"/>
      <c r="AJ159" s="81"/>
      <c r="AK159" s="81"/>
      <c r="AL159" s="81"/>
      <c r="AM159" s="81"/>
      <c r="AN159" s="81"/>
      <c r="AO159" s="81"/>
      <c r="AP159" s="81"/>
      <c r="AQ159" s="81"/>
      <c r="AR159" s="81"/>
      <c r="AS159" s="81"/>
      <c r="AT159" s="81"/>
      <c r="AU159" s="81"/>
      <c r="AV159" s="81"/>
      <c r="AW159" s="81"/>
      <c r="AX159" s="81"/>
      <c r="AY159" s="81"/>
      <c r="AZ159" s="81"/>
      <c r="BA159" s="81"/>
      <c r="BB159" s="81"/>
      <c r="BC159" s="81"/>
      <c r="BD159" s="81"/>
    </row>
    <row r="160" ht="15.0" customHeight="1">
      <c r="A160" s="81"/>
      <c r="B160" s="81"/>
      <c r="C160" s="81"/>
      <c r="D160" s="81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81"/>
      <c r="AZ160" s="81"/>
      <c r="BA160" s="81"/>
      <c r="BB160" s="81"/>
      <c r="BC160" s="81"/>
      <c r="BD160" s="81"/>
    </row>
    <row r="161" ht="15.0" customHeight="1">
      <c r="A161" s="81"/>
      <c r="B161" s="81"/>
      <c r="C161" s="81"/>
      <c r="D161" s="81"/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1"/>
      <c r="AN161" s="81"/>
      <c r="AO161" s="81"/>
      <c r="AP161" s="81"/>
      <c r="AQ161" s="81"/>
      <c r="AR161" s="81"/>
      <c r="AS161" s="81"/>
      <c r="AT161" s="81"/>
      <c r="AU161" s="81"/>
      <c r="AV161" s="81"/>
      <c r="AW161" s="81"/>
      <c r="AX161" s="81"/>
      <c r="AY161" s="81"/>
      <c r="AZ161" s="81"/>
      <c r="BA161" s="81"/>
      <c r="BB161" s="81"/>
      <c r="BC161" s="81"/>
      <c r="BD161" s="81"/>
    </row>
    <row r="162" ht="15.0" customHeight="1">
      <c r="A162" s="81"/>
      <c r="B162" s="81"/>
      <c r="C162" s="81"/>
      <c r="D162" s="81"/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1"/>
    </row>
    <row r="163" ht="15.0" customHeight="1">
      <c r="A163" s="81"/>
      <c r="B163" s="81"/>
      <c r="C163" s="81"/>
      <c r="D163" s="81"/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</row>
    <row r="164" ht="15.0" customHeight="1">
      <c r="A164" s="81"/>
      <c r="B164" s="81"/>
      <c r="C164" s="81"/>
      <c r="D164" s="81"/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1"/>
    </row>
    <row r="165" ht="15.0" customHeight="1">
      <c r="A165" s="81"/>
      <c r="B165" s="81"/>
      <c r="C165" s="81"/>
      <c r="D165" s="81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1"/>
      <c r="AN165" s="81"/>
      <c r="AO165" s="81"/>
      <c r="AP165" s="81"/>
      <c r="AQ165" s="81"/>
      <c r="AR165" s="81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C165" s="81"/>
      <c r="BD165" s="81"/>
    </row>
    <row r="166" ht="15.0" customHeight="1">
      <c r="A166" s="81"/>
      <c r="B166" s="81"/>
      <c r="C166" s="81"/>
      <c r="D166" s="81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81"/>
      <c r="AO166" s="81"/>
      <c r="AP166" s="81"/>
      <c r="AQ166" s="81"/>
      <c r="AR166" s="81"/>
      <c r="AS166" s="81"/>
      <c r="AT166" s="81"/>
      <c r="AU166" s="81"/>
      <c r="AV166" s="81"/>
      <c r="AW166" s="81"/>
      <c r="AX166" s="81"/>
      <c r="AY166" s="81"/>
      <c r="AZ166" s="81"/>
      <c r="BA166" s="81"/>
      <c r="BB166" s="81"/>
      <c r="BC166" s="81"/>
      <c r="BD166" s="81"/>
    </row>
    <row r="167" ht="15.0" customHeight="1">
      <c r="A167" s="81"/>
      <c r="B167" s="81"/>
      <c r="C167" s="81"/>
      <c r="D167" s="81"/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1"/>
      <c r="AN167" s="81"/>
      <c r="AO167" s="81"/>
      <c r="AP167" s="81"/>
      <c r="AQ167" s="81"/>
      <c r="AR167" s="81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C167" s="81"/>
      <c r="BD167" s="81"/>
    </row>
    <row r="168" ht="15.0" customHeight="1">
      <c r="A168" s="81"/>
      <c r="B168" s="81"/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C168" s="81"/>
      <c r="BD168" s="81"/>
    </row>
    <row r="169" ht="15.0" customHeight="1">
      <c r="A169" s="81"/>
      <c r="B169" s="81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1"/>
    </row>
    <row r="170" ht="15.0" customHeight="1">
      <c r="A170" s="81"/>
      <c r="B170" s="81"/>
      <c r="C170" s="81"/>
      <c r="D170" s="81"/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</row>
    <row r="171" ht="15.0" customHeight="1">
      <c r="A171" s="81"/>
      <c r="B171" s="81"/>
      <c r="C171" s="81"/>
      <c r="D171" s="81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1"/>
      <c r="AO171" s="81"/>
      <c r="AP171" s="81"/>
      <c r="AQ171" s="81"/>
      <c r="AR171" s="81"/>
      <c r="AS171" s="81"/>
      <c r="AT171" s="81"/>
      <c r="AU171" s="81"/>
      <c r="AV171" s="81"/>
      <c r="AW171" s="81"/>
      <c r="AX171" s="81"/>
      <c r="AY171" s="81"/>
      <c r="AZ171" s="81"/>
      <c r="BA171" s="81"/>
      <c r="BB171" s="81"/>
      <c r="BC171" s="81"/>
      <c r="BD171" s="81"/>
    </row>
    <row r="172" ht="15.0" customHeight="1">
      <c r="A172" s="81"/>
      <c r="B172" s="81"/>
      <c r="C172" s="81"/>
      <c r="D172" s="81"/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81"/>
      <c r="AO172" s="81"/>
      <c r="AP172" s="81"/>
      <c r="AQ172" s="81"/>
      <c r="AR172" s="81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C172" s="81"/>
      <c r="BD172" s="81"/>
    </row>
    <row r="173" ht="15.0" customHeight="1">
      <c r="A173" s="81"/>
      <c r="B173" s="81"/>
      <c r="C173" s="81"/>
      <c r="D173" s="81"/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1"/>
      <c r="AN173" s="81"/>
      <c r="AO173" s="81"/>
      <c r="AP173" s="81"/>
      <c r="AQ173" s="81"/>
      <c r="AR173" s="81"/>
      <c r="AS173" s="81"/>
      <c r="AT173" s="81"/>
      <c r="AU173" s="81"/>
      <c r="AV173" s="81"/>
      <c r="AW173" s="81"/>
      <c r="AX173" s="81"/>
      <c r="AY173" s="81"/>
      <c r="AZ173" s="81"/>
      <c r="BA173" s="81"/>
      <c r="BB173" s="81"/>
      <c r="BC173" s="81"/>
      <c r="BD173" s="81"/>
    </row>
    <row r="174" ht="15.0" customHeight="1">
      <c r="A174" s="81"/>
      <c r="B174" s="81"/>
      <c r="C174" s="81"/>
      <c r="D174" s="81"/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81"/>
      <c r="AO174" s="81"/>
      <c r="AP174" s="81"/>
      <c r="AQ174" s="81"/>
      <c r="AR174" s="81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C174" s="81"/>
      <c r="BD174" s="81"/>
    </row>
    <row r="175" ht="15.0" customHeight="1">
      <c r="A175" s="81"/>
      <c r="B175" s="81"/>
      <c r="C175" s="81"/>
      <c r="D175" s="81"/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1"/>
    </row>
    <row r="176" ht="15.0" customHeight="1">
      <c r="A176" s="81"/>
      <c r="B176" s="81"/>
      <c r="C176" s="81"/>
      <c r="D176" s="81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81"/>
      <c r="AO176" s="81"/>
      <c r="AP176" s="81"/>
      <c r="AQ176" s="81"/>
      <c r="AR176" s="81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C176" s="81"/>
      <c r="BD176" s="81"/>
    </row>
    <row r="177" ht="15.0" customHeight="1">
      <c r="A177" s="81"/>
      <c r="B177" s="81"/>
      <c r="C177" s="81"/>
      <c r="D177" s="81"/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1"/>
      <c r="AN177" s="81"/>
      <c r="AO177" s="81"/>
      <c r="AP177" s="81"/>
      <c r="AQ177" s="81"/>
      <c r="AR177" s="81"/>
      <c r="AS177" s="81"/>
      <c r="AT177" s="81"/>
      <c r="AU177" s="81"/>
      <c r="AV177" s="81"/>
      <c r="AW177" s="81"/>
      <c r="AX177" s="81"/>
      <c r="AY177" s="81"/>
      <c r="AZ177" s="81"/>
      <c r="BA177" s="81"/>
      <c r="BB177" s="81"/>
      <c r="BC177" s="81"/>
      <c r="BD177" s="81"/>
    </row>
    <row r="178" ht="15.0" customHeight="1">
      <c r="A178" s="81"/>
      <c r="B178" s="81"/>
      <c r="C178" s="81"/>
      <c r="D178" s="81"/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1"/>
    </row>
    <row r="179" ht="15.0" customHeight="1">
      <c r="A179" s="81"/>
      <c r="B179" s="81"/>
      <c r="C179" s="81"/>
      <c r="D179" s="81"/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1"/>
    </row>
    <row r="180" ht="15.0" customHeight="1">
      <c r="A180" s="81"/>
      <c r="B180" s="81"/>
      <c r="C180" s="81"/>
      <c r="D180" s="81"/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1"/>
      <c r="AN180" s="81"/>
      <c r="AO180" s="81"/>
      <c r="AP180" s="81"/>
      <c r="AQ180" s="81"/>
      <c r="AR180" s="81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  <c r="BC180" s="81"/>
      <c r="BD180" s="81"/>
    </row>
    <row r="181" ht="15.0" customHeight="1">
      <c r="A181" s="81"/>
      <c r="B181" s="81"/>
      <c r="C181" s="81"/>
      <c r="D181" s="81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  <c r="AC181" s="81"/>
      <c r="AD181" s="81"/>
      <c r="AE181" s="81"/>
      <c r="AF181" s="81"/>
      <c r="AG181" s="81"/>
      <c r="AH181" s="81"/>
      <c r="AI181" s="81"/>
      <c r="AJ181" s="81"/>
      <c r="AK181" s="81"/>
      <c r="AL181" s="81"/>
      <c r="AM181" s="81"/>
      <c r="AN181" s="81"/>
      <c r="AO181" s="81"/>
      <c r="AP181" s="81"/>
      <c r="AQ181" s="81"/>
      <c r="AR181" s="81"/>
      <c r="AS181" s="81"/>
      <c r="AT181" s="81"/>
      <c r="AU181" s="81"/>
      <c r="AV181" s="81"/>
      <c r="AW181" s="81"/>
      <c r="AX181" s="81"/>
      <c r="AY181" s="81"/>
      <c r="AZ181" s="81"/>
      <c r="BA181" s="81"/>
      <c r="BB181" s="81"/>
      <c r="BC181" s="81"/>
      <c r="BD181" s="81"/>
    </row>
    <row r="182" ht="15.0" customHeight="1">
      <c r="A182" s="81"/>
      <c r="B182" s="81"/>
      <c r="C182" s="81"/>
      <c r="D182" s="81"/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1"/>
      <c r="AN182" s="81"/>
      <c r="AO182" s="81"/>
      <c r="AP182" s="81"/>
      <c r="AQ182" s="81"/>
      <c r="AR182" s="81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  <c r="BC182" s="81"/>
      <c r="BD182" s="81"/>
    </row>
    <row r="183" ht="15.0" customHeight="1">
      <c r="A183" s="81"/>
      <c r="B183" s="81"/>
      <c r="C183" s="81"/>
      <c r="D183" s="81"/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1"/>
      <c r="AN183" s="81"/>
      <c r="AO183" s="81"/>
      <c r="AP183" s="81"/>
      <c r="AQ183" s="81"/>
      <c r="AR183" s="81"/>
      <c r="AS183" s="81"/>
      <c r="AT183" s="81"/>
      <c r="AU183" s="81"/>
      <c r="AV183" s="81"/>
      <c r="AW183" s="81"/>
      <c r="AX183" s="81"/>
      <c r="AY183" s="81"/>
      <c r="AZ183" s="81"/>
      <c r="BA183" s="81"/>
      <c r="BB183" s="81"/>
      <c r="BC183" s="81"/>
      <c r="BD183" s="81"/>
    </row>
    <row r="184" ht="15.0" customHeight="1">
      <c r="A184" s="81"/>
      <c r="B184" s="81"/>
      <c r="C184" s="81"/>
      <c r="D184" s="81"/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1"/>
      <c r="AN184" s="81"/>
      <c r="AO184" s="81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81"/>
      <c r="BD184" s="81"/>
    </row>
    <row r="185" ht="15.0" customHeight="1">
      <c r="A185" s="81"/>
      <c r="B185" s="81"/>
      <c r="C185" s="81"/>
      <c r="D185" s="81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1"/>
    </row>
    <row r="186" ht="15.0" customHeight="1">
      <c r="A186" s="81"/>
      <c r="B186" s="81"/>
      <c r="C186" s="81"/>
      <c r="D186" s="81"/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</row>
    <row r="187" ht="15.0" customHeight="1">
      <c r="A187" s="81"/>
      <c r="B187" s="81"/>
      <c r="C187" s="81"/>
      <c r="D187" s="81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1"/>
    </row>
    <row r="188" ht="15.0" customHeight="1">
      <c r="A188" s="81"/>
      <c r="B188" s="81"/>
      <c r="C188" s="81"/>
      <c r="D188" s="81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</row>
    <row r="189" ht="15.0" customHeight="1">
      <c r="A189" s="81"/>
      <c r="B189" s="81"/>
      <c r="C189" s="81"/>
      <c r="D189" s="81"/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81"/>
      <c r="AZ189" s="81"/>
      <c r="BA189" s="81"/>
      <c r="BB189" s="81"/>
      <c r="BC189" s="81"/>
      <c r="BD189" s="81"/>
    </row>
    <row r="190" ht="15.0" customHeight="1">
      <c r="A190" s="81"/>
      <c r="B190" s="81"/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</row>
    <row r="191" ht="15.0" customHeight="1">
      <c r="A191" s="81"/>
      <c r="B191" s="81"/>
      <c r="C191" s="81"/>
      <c r="D191" s="81"/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1"/>
    </row>
    <row r="192" ht="15.0" customHeight="1">
      <c r="A192" s="81"/>
      <c r="B192" s="81"/>
      <c r="C192" s="81"/>
      <c r="D192" s="81"/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81"/>
      <c r="AZ192" s="81"/>
      <c r="BA192" s="81"/>
      <c r="BB192" s="81"/>
      <c r="BC192" s="81"/>
      <c r="BD192" s="81"/>
    </row>
    <row r="193" ht="15.0" customHeight="1">
      <c r="A193" s="81"/>
      <c r="B193" s="81"/>
      <c r="C193" s="81"/>
      <c r="D193" s="81"/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81"/>
      <c r="AZ193" s="81"/>
      <c r="BA193" s="81"/>
      <c r="BB193" s="81"/>
      <c r="BC193" s="81"/>
      <c r="BD193" s="81"/>
    </row>
    <row r="194" ht="15.0" customHeight="1">
      <c r="A194" s="81"/>
      <c r="B194" s="81"/>
      <c r="C194" s="81"/>
      <c r="D194" s="81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1"/>
    </row>
    <row r="195" ht="15.0" customHeight="1">
      <c r="A195" s="81"/>
      <c r="B195" s="81"/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1"/>
      <c r="AN195" s="81"/>
      <c r="AO195" s="81"/>
      <c r="AP195" s="81"/>
      <c r="AQ195" s="81"/>
      <c r="AR195" s="81"/>
      <c r="AS195" s="81"/>
      <c r="AT195" s="81"/>
      <c r="AU195" s="81"/>
      <c r="AV195" s="81"/>
      <c r="AW195" s="81"/>
      <c r="AX195" s="81"/>
      <c r="AY195" s="81"/>
      <c r="AZ195" s="81"/>
      <c r="BA195" s="81"/>
      <c r="BB195" s="81"/>
      <c r="BC195" s="81"/>
      <c r="BD195" s="81"/>
    </row>
    <row r="196" ht="15.0" customHeight="1">
      <c r="A196" s="81"/>
      <c r="B196" s="81"/>
      <c r="C196" s="81"/>
      <c r="D196" s="81"/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1"/>
      <c r="AS196" s="81"/>
      <c r="AT196" s="81"/>
      <c r="AU196" s="81"/>
      <c r="AV196" s="81"/>
      <c r="AW196" s="81"/>
      <c r="AX196" s="81"/>
      <c r="AY196" s="81"/>
      <c r="AZ196" s="81"/>
      <c r="BA196" s="81"/>
      <c r="BB196" s="81"/>
      <c r="BC196" s="81"/>
      <c r="BD196" s="81"/>
    </row>
    <row r="197" ht="15.0" customHeight="1">
      <c r="A197" s="81"/>
      <c r="B197" s="81"/>
      <c r="C197" s="81"/>
      <c r="D197" s="81"/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1"/>
    </row>
    <row r="198" ht="15.0" customHeight="1">
      <c r="A198" s="81"/>
      <c r="B198" s="81"/>
      <c r="C198" s="81"/>
      <c r="D198" s="81"/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1"/>
      <c r="AS198" s="81"/>
      <c r="AT198" s="81"/>
      <c r="AU198" s="81"/>
      <c r="AV198" s="81"/>
      <c r="AW198" s="81"/>
      <c r="AX198" s="81"/>
      <c r="AY198" s="81"/>
      <c r="AZ198" s="81"/>
      <c r="BA198" s="81"/>
      <c r="BB198" s="81"/>
      <c r="BC198" s="81"/>
      <c r="BD198" s="81"/>
    </row>
    <row r="199" ht="15.0" customHeight="1">
      <c r="A199" s="81"/>
      <c r="B199" s="81"/>
      <c r="C199" s="81"/>
      <c r="D199" s="81"/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1"/>
      <c r="AS199" s="81"/>
      <c r="AT199" s="81"/>
      <c r="AU199" s="81"/>
      <c r="AV199" s="81"/>
      <c r="AW199" s="81"/>
      <c r="AX199" s="81"/>
      <c r="AY199" s="81"/>
      <c r="AZ199" s="81"/>
      <c r="BA199" s="81"/>
      <c r="BB199" s="81"/>
      <c r="BC199" s="81"/>
      <c r="BD199" s="81"/>
    </row>
    <row r="200" ht="15.0" customHeight="1">
      <c r="A200" s="81"/>
      <c r="B200" s="81"/>
      <c r="C200" s="81"/>
      <c r="D200" s="81"/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1"/>
      <c r="AS200" s="81"/>
      <c r="AT200" s="81"/>
      <c r="AU200" s="81"/>
      <c r="AV200" s="81"/>
      <c r="AW200" s="81"/>
      <c r="AX200" s="81"/>
      <c r="AY200" s="81"/>
      <c r="AZ200" s="81"/>
      <c r="BA200" s="81"/>
      <c r="BB200" s="81"/>
      <c r="BC200" s="81"/>
      <c r="BD200" s="81"/>
    </row>
    <row r="201" ht="15.0" customHeight="1">
      <c r="A201" s="81"/>
      <c r="B201" s="81"/>
      <c r="C201" s="81"/>
      <c r="D201" s="81"/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1"/>
    </row>
    <row r="202" ht="15.0" customHeight="1">
      <c r="A202" s="81"/>
      <c r="B202" s="81"/>
      <c r="C202" s="81"/>
      <c r="D202" s="81"/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1"/>
      <c r="AN202" s="81"/>
      <c r="AO202" s="81"/>
      <c r="AP202" s="81"/>
      <c r="AQ202" s="81"/>
      <c r="AR202" s="81"/>
      <c r="AS202" s="81"/>
      <c r="AT202" s="81"/>
      <c r="AU202" s="81"/>
      <c r="AV202" s="81"/>
      <c r="AW202" s="81"/>
      <c r="AX202" s="81"/>
      <c r="AY202" s="81"/>
      <c r="AZ202" s="81"/>
      <c r="BA202" s="81"/>
      <c r="BB202" s="81"/>
      <c r="BC202" s="81"/>
      <c r="BD202" s="81"/>
    </row>
    <row r="203" ht="15.0" customHeight="1">
      <c r="A203" s="81"/>
      <c r="B203" s="81"/>
      <c r="C203" s="81"/>
      <c r="D203" s="8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1"/>
      <c r="AN203" s="81"/>
      <c r="AO203" s="81"/>
      <c r="AP203" s="81"/>
      <c r="AQ203" s="81"/>
      <c r="AR203" s="81"/>
      <c r="AS203" s="81"/>
      <c r="AT203" s="81"/>
      <c r="AU203" s="81"/>
      <c r="AV203" s="81"/>
      <c r="AW203" s="81"/>
      <c r="AX203" s="81"/>
      <c r="AY203" s="81"/>
      <c r="AZ203" s="81"/>
      <c r="BA203" s="81"/>
      <c r="BB203" s="81"/>
      <c r="BC203" s="81"/>
      <c r="BD203" s="81"/>
    </row>
    <row r="204" ht="15.0" customHeight="1">
      <c r="A204" s="81"/>
      <c r="B204" s="81"/>
      <c r="C204" s="81"/>
      <c r="D204" s="81"/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81"/>
      <c r="AO204" s="81"/>
      <c r="AP204" s="81"/>
      <c r="AQ204" s="81"/>
      <c r="AR204" s="81"/>
      <c r="AS204" s="81"/>
      <c r="AT204" s="81"/>
      <c r="AU204" s="81"/>
      <c r="AV204" s="81"/>
      <c r="AW204" s="81"/>
      <c r="AX204" s="81"/>
      <c r="AY204" s="81"/>
      <c r="AZ204" s="81"/>
      <c r="BA204" s="81"/>
      <c r="BB204" s="81"/>
      <c r="BC204" s="81"/>
      <c r="BD204" s="81"/>
    </row>
    <row r="205" ht="15.0" customHeight="1">
      <c r="A205" s="81"/>
      <c r="B205" s="81"/>
      <c r="C205" s="81"/>
      <c r="D205" s="81"/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1"/>
    </row>
    <row r="206" ht="15.0" customHeight="1">
      <c r="A206" s="81"/>
      <c r="B206" s="81"/>
      <c r="C206" s="81"/>
      <c r="D206" s="81"/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81"/>
      <c r="AZ206" s="81"/>
      <c r="BA206" s="81"/>
      <c r="BB206" s="81"/>
      <c r="BC206" s="81"/>
      <c r="BD206" s="81"/>
    </row>
    <row r="207" ht="15.0" customHeight="1">
      <c r="A207" s="81"/>
      <c r="B207" s="81"/>
      <c r="C207" s="81"/>
      <c r="D207" s="81"/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1"/>
    </row>
    <row r="208" ht="15.0" customHeight="1">
      <c r="A208" s="81"/>
      <c r="B208" s="81"/>
      <c r="C208" s="81"/>
      <c r="D208" s="81"/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1"/>
      <c r="AP208" s="81"/>
      <c r="AQ208" s="81"/>
      <c r="AR208" s="81"/>
      <c r="AS208" s="81"/>
      <c r="AT208" s="81"/>
      <c r="AU208" s="81"/>
      <c r="AV208" s="81"/>
      <c r="AW208" s="81"/>
      <c r="AX208" s="81"/>
      <c r="AY208" s="81"/>
      <c r="AZ208" s="81"/>
      <c r="BA208" s="81"/>
      <c r="BB208" s="81"/>
      <c r="BC208" s="81"/>
      <c r="BD208" s="81"/>
    </row>
    <row r="209" ht="15.0" customHeight="1">
      <c r="A209" s="81"/>
      <c r="B209" s="81"/>
      <c r="C209" s="81"/>
      <c r="D209" s="81"/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1"/>
      <c r="AN209" s="81"/>
      <c r="AO209" s="81"/>
      <c r="AP209" s="81"/>
      <c r="AQ209" s="81"/>
      <c r="AR209" s="81"/>
      <c r="AS209" s="81"/>
      <c r="AT209" s="81"/>
      <c r="AU209" s="81"/>
      <c r="AV209" s="81"/>
      <c r="AW209" s="81"/>
      <c r="AX209" s="81"/>
      <c r="AY209" s="81"/>
      <c r="AZ209" s="81"/>
      <c r="BA209" s="81"/>
      <c r="BB209" s="81"/>
      <c r="BC209" s="81"/>
      <c r="BD209" s="81"/>
    </row>
    <row r="210" ht="15.0" customHeight="1">
      <c r="A210" s="81"/>
      <c r="B210" s="81"/>
      <c r="C210" s="81"/>
      <c r="D210" s="81"/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81"/>
      <c r="AZ210" s="81"/>
      <c r="BA210" s="81"/>
      <c r="BB210" s="81"/>
      <c r="BC210" s="81"/>
      <c r="BD210" s="81"/>
    </row>
    <row r="211" ht="15.0" customHeight="1">
      <c r="A211" s="81"/>
      <c r="B211" s="81"/>
      <c r="C211" s="81"/>
      <c r="D211" s="81"/>
      <c r="E211" s="81"/>
      <c r="F211" s="81"/>
      <c r="G211" s="81"/>
      <c r="H211" s="81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1"/>
      <c r="AC211" s="81"/>
      <c r="AD211" s="81"/>
      <c r="AE211" s="81"/>
      <c r="AF211" s="81"/>
      <c r="AG211" s="81"/>
      <c r="AH211" s="81"/>
      <c r="AI211" s="81"/>
      <c r="AJ211" s="81"/>
      <c r="AK211" s="81"/>
      <c r="AL211" s="81"/>
      <c r="AM211" s="81"/>
      <c r="AN211" s="81"/>
      <c r="AO211" s="81"/>
      <c r="AP211" s="81"/>
      <c r="AQ211" s="81"/>
      <c r="AR211" s="81"/>
      <c r="AS211" s="81"/>
      <c r="AT211" s="81"/>
      <c r="AU211" s="81"/>
      <c r="AV211" s="81"/>
      <c r="AW211" s="81"/>
      <c r="AX211" s="81"/>
      <c r="AY211" s="81"/>
      <c r="AZ211" s="81"/>
      <c r="BA211" s="81"/>
      <c r="BB211" s="81"/>
      <c r="BC211" s="81"/>
      <c r="BD211" s="81"/>
    </row>
    <row r="212" ht="15.0" customHeight="1">
      <c r="A212" s="81"/>
      <c r="B212" s="81"/>
      <c r="C212" s="81"/>
      <c r="D212" s="81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</row>
    <row r="213" ht="15.0" customHeight="1">
      <c r="A213" s="81"/>
      <c r="B213" s="81"/>
      <c r="C213" s="81"/>
      <c r="D213" s="81"/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1"/>
    </row>
    <row r="214" ht="15.0" customHeight="1">
      <c r="A214" s="81"/>
      <c r="B214" s="81"/>
      <c r="C214" s="81"/>
      <c r="D214" s="81"/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1"/>
    </row>
    <row r="215" ht="15.0" customHeight="1">
      <c r="A215" s="81"/>
      <c r="B215" s="81"/>
      <c r="C215" s="81"/>
      <c r="D215" s="81"/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1"/>
      <c r="AN215" s="81"/>
      <c r="AO215" s="81"/>
      <c r="AP215" s="81"/>
      <c r="AQ215" s="81"/>
      <c r="AR215" s="81"/>
      <c r="AS215" s="81"/>
      <c r="AT215" s="81"/>
      <c r="AU215" s="81"/>
      <c r="AV215" s="81"/>
      <c r="AW215" s="81"/>
      <c r="AX215" s="81"/>
      <c r="AY215" s="81"/>
      <c r="AZ215" s="81"/>
      <c r="BA215" s="81"/>
      <c r="BB215" s="81"/>
      <c r="BC215" s="81"/>
      <c r="BD215" s="81"/>
    </row>
    <row r="216" ht="15.0" customHeight="1">
      <c r="A216" s="81"/>
      <c r="B216" s="81"/>
      <c r="C216" s="81"/>
      <c r="D216" s="81"/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/>
      <c r="AP216" s="81"/>
      <c r="AQ216" s="81"/>
      <c r="AR216" s="81"/>
      <c r="AS216" s="81"/>
      <c r="AT216" s="81"/>
      <c r="AU216" s="81"/>
      <c r="AV216" s="81"/>
      <c r="AW216" s="81"/>
      <c r="AX216" s="81"/>
      <c r="AY216" s="81"/>
      <c r="AZ216" s="81"/>
      <c r="BA216" s="81"/>
      <c r="BB216" s="81"/>
      <c r="BC216" s="81"/>
      <c r="BD216" s="81"/>
    </row>
    <row r="217" ht="15.0" customHeight="1">
      <c r="A217" s="81"/>
      <c r="B217" s="81"/>
      <c r="C217" s="81"/>
      <c r="D217" s="81"/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1"/>
      <c r="AS217" s="81"/>
      <c r="AT217" s="81"/>
      <c r="AU217" s="81"/>
      <c r="AV217" s="81"/>
      <c r="AW217" s="81"/>
      <c r="AX217" s="81"/>
      <c r="AY217" s="81"/>
      <c r="AZ217" s="81"/>
      <c r="BA217" s="81"/>
      <c r="BB217" s="81"/>
      <c r="BC217" s="81"/>
      <c r="BD217" s="81"/>
    </row>
    <row r="218" ht="15.0" customHeight="1">
      <c r="A218" s="81"/>
      <c r="B218" s="81"/>
      <c r="C218" s="81"/>
      <c r="D218" s="81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1"/>
      <c r="AW218" s="81"/>
      <c r="AX218" s="81"/>
      <c r="AY218" s="81"/>
      <c r="AZ218" s="81"/>
      <c r="BA218" s="81"/>
      <c r="BB218" s="81"/>
      <c r="BC218" s="81"/>
      <c r="BD218" s="81"/>
    </row>
    <row r="219" ht="15.0" customHeight="1">
      <c r="A219" s="81"/>
      <c r="B219" s="81"/>
      <c r="C219" s="81"/>
      <c r="D219" s="81"/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1"/>
      <c r="AS219" s="81"/>
      <c r="AT219" s="81"/>
      <c r="AU219" s="81"/>
      <c r="AV219" s="81"/>
      <c r="AW219" s="81"/>
      <c r="AX219" s="81"/>
      <c r="AY219" s="81"/>
      <c r="AZ219" s="81"/>
      <c r="BA219" s="81"/>
      <c r="BB219" s="81"/>
      <c r="BC219" s="81"/>
      <c r="BD219" s="81"/>
    </row>
    <row r="220" ht="15.0" customHeight="1">
      <c r="A220" s="81"/>
      <c r="B220" s="81"/>
      <c r="C220" s="81"/>
      <c r="D220" s="81"/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1"/>
      <c r="AN220" s="81"/>
      <c r="AO220" s="81"/>
      <c r="AP220" s="81"/>
      <c r="AQ220" s="81"/>
      <c r="AR220" s="81"/>
      <c r="AS220" s="81"/>
      <c r="AT220" s="81"/>
      <c r="AU220" s="81"/>
      <c r="AV220" s="81"/>
      <c r="AW220" s="81"/>
      <c r="AX220" s="81"/>
      <c r="AY220" s="81"/>
      <c r="AZ220" s="81"/>
      <c r="BA220" s="81"/>
      <c r="BB220" s="81"/>
      <c r="BC220" s="81"/>
      <c r="BD220" s="81"/>
    </row>
    <row r="221" ht="15.0" customHeight="1">
      <c r="A221" s="81"/>
      <c r="B221" s="81"/>
      <c r="C221" s="81"/>
      <c r="D221" s="81"/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  <c r="AC221" s="81"/>
      <c r="AD221" s="81"/>
      <c r="AE221" s="81"/>
      <c r="AF221" s="81"/>
      <c r="AG221" s="81"/>
      <c r="AH221" s="81"/>
      <c r="AI221" s="81"/>
      <c r="AJ221" s="81"/>
      <c r="AK221" s="81"/>
      <c r="AL221" s="81"/>
      <c r="AM221" s="81"/>
      <c r="AN221" s="81"/>
      <c r="AO221" s="81"/>
      <c r="AP221" s="81"/>
      <c r="AQ221" s="81"/>
      <c r="AR221" s="81"/>
      <c r="AS221" s="81"/>
      <c r="AT221" s="81"/>
      <c r="AU221" s="81"/>
      <c r="AV221" s="81"/>
      <c r="AW221" s="81"/>
      <c r="AX221" s="81"/>
      <c r="AY221" s="81"/>
      <c r="AZ221" s="81"/>
      <c r="BA221" s="81"/>
      <c r="BB221" s="81"/>
      <c r="BC221" s="81"/>
      <c r="BD221" s="81"/>
    </row>
    <row r="222" ht="15.0" customHeight="1">
      <c r="A222" s="81"/>
      <c r="B222" s="81"/>
      <c r="C222" s="81"/>
      <c r="D222" s="81"/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81"/>
      <c r="AZ222" s="81"/>
      <c r="BA222" s="81"/>
      <c r="BB222" s="81"/>
      <c r="BC222" s="81"/>
      <c r="BD222" s="81"/>
    </row>
    <row r="223" ht="15.0" customHeight="1">
      <c r="A223" s="81"/>
      <c r="B223" s="81"/>
      <c r="C223" s="81"/>
      <c r="D223" s="81"/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  <c r="AC223" s="81"/>
      <c r="AD223" s="81"/>
      <c r="AE223" s="81"/>
      <c r="AF223" s="81"/>
      <c r="AG223" s="81"/>
      <c r="AH223" s="81"/>
      <c r="AI223" s="81"/>
      <c r="AJ223" s="81"/>
      <c r="AK223" s="81"/>
      <c r="AL223" s="81"/>
      <c r="AM223" s="81"/>
      <c r="AN223" s="81"/>
      <c r="AO223" s="81"/>
      <c r="AP223" s="81"/>
      <c r="AQ223" s="81"/>
      <c r="AR223" s="81"/>
      <c r="AS223" s="81"/>
      <c r="AT223" s="81"/>
      <c r="AU223" s="81"/>
      <c r="AV223" s="81"/>
      <c r="AW223" s="81"/>
      <c r="AX223" s="81"/>
      <c r="AY223" s="81"/>
      <c r="AZ223" s="81"/>
      <c r="BA223" s="81"/>
      <c r="BB223" s="81"/>
      <c r="BC223" s="81"/>
      <c r="BD223" s="81"/>
    </row>
    <row r="224" ht="15.0" customHeight="1">
      <c r="A224" s="81"/>
      <c r="B224" s="81"/>
      <c r="C224" s="81"/>
      <c r="D224" s="81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  <c r="AD224" s="81"/>
      <c r="AE224" s="81"/>
      <c r="AF224" s="81"/>
      <c r="AG224" s="81"/>
      <c r="AH224" s="81"/>
      <c r="AI224" s="81"/>
      <c r="AJ224" s="81"/>
      <c r="AK224" s="81"/>
      <c r="AL224" s="81"/>
      <c r="AM224" s="81"/>
      <c r="AN224" s="81"/>
      <c r="AO224" s="81"/>
      <c r="AP224" s="81"/>
      <c r="AQ224" s="81"/>
      <c r="AR224" s="81"/>
      <c r="AS224" s="81"/>
      <c r="AT224" s="81"/>
      <c r="AU224" s="81"/>
      <c r="AV224" s="81"/>
      <c r="AW224" s="81"/>
      <c r="AX224" s="81"/>
      <c r="AY224" s="81"/>
      <c r="AZ224" s="81"/>
      <c r="BA224" s="81"/>
      <c r="BB224" s="81"/>
      <c r="BC224" s="81"/>
      <c r="BD224" s="81"/>
    </row>
    <row r="225" ht="15.0" customHeight="1">
      <c r="A225" s="81"/>
      <c r="B225" s="81"/>
      <c r="C225" s="81"/>
      <c r="D225" s="81"/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  <c r="AC225" s="81"/>
      <c r="AD225" s="81"/>
      <c r="AE225" s="81"/>
      <c r="AF225" s="81"/>
      <c r="AG225" s="81"/>
      <c r="AH225" s="81"/>
      <c r="AI225" s="81"/>
      <c r="AJ225" s="81"/>
      <c r="AK225" s="81"/>
      <c r="AL225" s="81"/>
      <c r="AM225" s="81"/>
      <c r="AN225" s="81"/>
      <c r="AO225" s="81"/>
      <c r="AP225" s="81"/>
      <c r="AQ225" s="81"/>
      <c r="AR225" s="81"/>
      <c r="AS225" s="81"/>
      <c r="AT225" s="81"/>
      <c r="AU225" s="81"/>
      <c r="AV225" s="81"/>
      <c r="AW225" s="81"/>
      <c r="AX225" s="81"/>
      <c r="AY225" s="81"/>
      <c r="AZ225" s="81"/>
      <c r="BA225" s="81"/>
      <c r="BB225" s="81"/>
      <c r="BC225" s="81"/>
      <c r="BD225" s="81"/>
    </row>
    <row r="226" ht="15.0" customHeight="1">
      <c r="A226" s="81"/>
      <c r="B226" s="81"/>
      <c r="C226" s="81"/>
      <c r="D226" s="81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1"/>
    </row>
    <row r="227" ht="15.0" customHeight="1">
      <c r="A227" s="81"/>
      <c r="B227" s="81"/>
      <c r="C227" s="81"/>
      <c r="D227" s="81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1"/>
      <c r="AN227" s="81"/>
      <c r="AO227" s="81"/>
      <c r="AP227" s="81"/>
      <c r="AQ227" s="81"/>
      <c r="AR227" s="81"/>
      <c r="AS227" s="81"/>
      <c r="AT227" s="81"/>
      <c r="AU227" s="81"/>
      <c r="AV227" s="81"/>
      <c r="AW227" s="81"/>
      <c r="AX227" s="81"/>
      <c r="AY227" s="81"/>
      <c r="AZ227" s="81"/>
      <c r="BA227" s="81"/>
      <c r="BB227" s="81"/>
      <c r="BC227" s="81"/>
      <c r="BD227" s="81"/>
    </row>
    <row r="228" ht="15.0" customHeight="1">
      <c r="A228" s="81"/>
      <c r="B228" s="81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1"/>
    </row>
    <row r="229" ht="15.0" customHeight="1">
      <c r="A229" s="81"/>
      <c r="B229" s="81"/>
      <c r="C229" s="81"/>
      <c r="D229" s="81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81"/>
      <c r="AO229" s="81"/>
      <c r="AP229" s="81"/>
      <c r="AQ229" s="81"/>
      <c r="AR229" s="81"/>
      <c r="AS229" s="81"/>
      <c r="AT229" s="81"/>
      <c r="AU229" s="81"/>
      <c r="AV229" s="81"/>
      <c r="AW229" s="81"/>
      <c r="AX229" s="81"/>
      <c r="AY229" s="81"/>
      <c r="AZ229" s="81"/>
      <c r="BA229" s="81"/>
      <c r="BB229" s="81"/>
      <c r="BC229" s="81"/>
      <c r="BD229" s="81"/>
    </row>
    <row r="230" ht="15.0" customHeight="1">
      <c r="A230" s="81"/>
      <c r="B230" s="81"/>
      <c r="C230" s="81"/>
      <c r="D230" s="81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1"/>
      <c r="AN230" s="81"/>
      <c r="AO230" s="81"/>
      <c r="AP230" s="81"/>
      <c r="AQ230" s="81"/>
      <c r="AR230" s="81"/>
      <c r="AS230" s="81"/>
      <c r="AT230" s="81"/>
      <c r="AU230" s="81"/>
      <c r="AV230" s="81"/>
      <c r="AW230" s="81"/>
      <c r="AX230" s="81"/>
      <c r="AY230" s="81"/>
      <c r="AZ230" s="81"/>
      <c r="BA230" s="81"/>
      <c r="BB230" s="81"/>
      <c r="BC230" s="81"/>
      <c r="BD230" s="81"/>
    </row>
    <row r="231" ht="15.0" customHeight="1">
      <c r="A231" s="81"/>
      <c r="B231" s="81"/>
      <c r="C231" s="81"/>
      <c r="D231" s="81"/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81"/>
      <c r="AD231" s="81"/>
      <c r="AE231" s="81"/>
      <c r="AF231" s="81"/>
      <c r="AG231" s="81"/>
      <c r="AH231" s="81"/>
      <c r="AI231" s="81"/>
      <c r="AJ231" s="81"/>
      <c r="AK231" s="81"/>
      <c r="AL231" s="81"/>
      <c r="AM231" s="81"/>
      <c r="AN231" s="81"/>
      <c r="AO231" s="81"/>
      <c r="AP231" s="81"/>
      <c r="AQ231" s="81"/>
      <c r="AR231" s="81"/>
      <c r="AS231" s="81"/>
      <c r="AT231" s="81"/>
      <c r="AU231" s="81"/>
      <c r="AV231" s="81"/>
      <c r="AW231" s="81"/>
      <c r="AX231" s="81"/>
      <c r="AY231" s="81"/>
      <c r="AZ231" s="81"/>
      <c r="BA231" s="81"/>
      <c r="BB231" s="81"/>
      <c r="BC231" s="81"/>
      <c r="BD231" s="81"/>
    </row>
    <row r="232" ht="15.0" customHeight="1">
      <c r="A232" s="81"/>
      <c r="B232" s="81"/>
      <c r="C232" s="81"/>
      <c r="D232" s="81"/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  <c r="AC232" s="81"/>
      <c r="AD232" s="81"/>
      <c r="AE232" s="81"/>
      <c r="AF232" s="81"/>
      <c r="AG232" s="81"/>
      <c r="AH232" s="81"/>
      <c r="AI232" s="81"/>
      <c r="AJ232" s="81"/>
      <c r="AK232" s="81"/>
      <c r="AL232" s="81"/>
      <c r="AM232" s="81"/>
      <c r="AN232" s="81"/>
      <c r="AO232" s="81"/>
      <c r="AP232" s="81"/>
      <c r="AQ232" s="81"/>
      <c r="AR232" s="81"/>
      <c r="AS232" s="81"/>
      <c r="AT232" s="81"/>
      <c r="AU232" s="81"/>
      <c r="AV232" s="81"/>
      <c r="AW232" s="81"/>
      <c r="AX232" s="81"/>
      <c r="AY232" s="81"/>
      <c r="AZ232" s="81"/>
      <c r="BA232" s="81"/>
      <c r="BB232" s="81"/>
      <c r="BC232" s="81"/>
      <c r="BD232" s="81"/>
    </row>
    <row r="233" ht="15.0" customHeight="1">
      <c r="A233" s="81"/>
      <c r="B233" s="81"/>
      <c r="C233" s="81"/>
      <c r="D233" s="81"/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1"/>
      <c r="AN233" s="81"/>
      <c r="AO233" s="81"/>
      <c r="AP233" s="81"/>
      <c r="AQ233" s="81"/>
      <c r="AR233" s="81"/>
      <c r="AS233" s="81"/>
      <c r="AT233" s="81"/>
      <c r="AU233" s="81"/>
      <c r="AV233" s="81"/>
      <c r="AW233" s="81"/>
      <c r="AX233" s="81"/>
      <c r="AY233" s="81"/>
      <c r="AZ233" s="81"/>
      <c r="BA233" s="81"/>
      <c r="BB233" s="81"/>
      <c r="BC233" s="81"/>
      <c r="BD233" s="81"/>
    </row>
    <row r="234" ht="15.0" customHeight="1">
      <c r="A234" s="81"/>
      <c r="B234" s="81"/>
      <c r="C234" s="81"/>
      <c r="D234" s="81"/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81"/>
      <c r="AZ234" s="81"/>
      <c r="BA234" s="81"/>
      <c r="BB234" s="81"/>
      <c r="BC234" s="81"/>
      <c r="BD234" s="81"/>
    </row>
    <row r="235" ht="15.0" customHeight="1">
      <c r="A235" s="81"/>
      <c r="B235" s="81"/>
      <c r="C235" s="81"/>
      <c r="D235" s="81"/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1"/>
      <c r="AN235" s="81"/>
      <c r="AO235" s="81"/>
      <c r="AP235" s="81"/>
      <c r="AQ235" s="81"/>
      <c r="AR235" s="81"/>
      <c r="AS235" s="81"/>
      <c r="AT235" s="81"/>
      <c r="AU235" s="81"/>
      <c r="AV235" s="81"/>
      <c r="AW235" s="81"/>
      <c r="AX235" s="81"/>
      <c r="AY235" s="81"/>
      <c r="AZ235" s="81"/>
      <c r="BA235" s="81"/>
      <c r="BB235" s="81"/>
      <c r="BC235" s="81"/>
      <c r="BD235" s="81"/>
    </row>
    <row r="236" ht="15.0" customHeight="1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  <c r="AC236" s="81"/>
      <c r="AD236" s="81"/>
      <c r="AE236" s="81"/>
      <c r="AF236" s="81"/>
      <c r="AG236" s="81"/>
      <c r="AH236" s="81"/>
      <c r="AI236" s="81"/>
      <c r="AJ236" s="81"/>
      <c r="AK236" s="81"/>
      <c r="AL236" s="81"/>
      <c r="AM236" s="81"/>
      <c r="AN236" s="81"/>
      <c r="AO236" s="81"/>
      <c r="AP236" s="81"/>
      <c r="AQ236" s="81"/>
      <c r="AR236" s="81"/>
      <c r="AS236" s="81"/>
      <c r="AT236" s="81"/>
      <c r="AU236" s="81"/>
      <c r="AV236" s="81"/>
      <c r="AW236" s="81"/>
      <c r="AX236" s="81"/>
      <c r="AY236" s="81"/>
      <c r="AZ236" s="81"/>
      <c r="BA236" s="81"/>
      <c r="BB236" s="81"/>
      <c r="BC236" s="81"/>
      <c r="BD236" s="81"/>
    </row>
    <row r="237" ht="15.0" customHeight="1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/>
      <c r="AH237" s="81"/>
      <c r="AI237" s="81"/>
      <c r="AJ237" s="81"/>
      <c r="AK237" s="81"/>
      <c r="AL237" s="81"/>
      <c r="AM237" s="81"/>
      <c r="AN237" s="81"/>
      <c r="AO237" s="81"/>
      <c r="AP237" s="81"/>
      <c r="AQ237" s="81"/>
      <c r="AR237" s="81"/>
      <c r="AS237" s="81"/>
      <c r="AT237" s="81"/>
      <c r="AU237" s="81"/>
      <c r="AV237" s="81"/>
      <c r="AW237" s="81"/>
      <c r="AX237" s="81"/>
      <c r="AY237" s="81"/>
      <c r="AZ237" s="81"/>
      <c r="BA237" s="81"/>
      <c r="BB237" s="81"/>
      <c r="BC237" s="81"/>
      <c r="BD237" s="81"/>
    </row>
    <row r="238" ht="15.0" customHeight="1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1"/>
      <c r="AZ238" s="81"/>
      <c r="BA238" s="81"/>
      <c r="BB238" s="81"/>
      <c r="BC238" s="81"/>
      <c r="BD238" s="81"/>
    </row>
    <row r="239" ht="15.0" customHeight="1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1"/>
      <c r="AN239" s="81"/>
      <c r="AO239" s="81"/>
      <c r="AP239" s="81"/>
      <c r="AQ239" s="81"/>
      <c r="AR239" s="81"/>
      <c r="AS239" s="81"/>
      <c r="AT239" s="81"/>
      <c r="AU239" s="81"/>
      <c r="AV239" s="81"/>
      <c r="AW239" s="81"/>
      <c r="AX239" s="81"/>
      <c r="AY239" s="81"/>
      <c r="AZ239" s="81"/>
      <c r="BA239" s="81"/>
      <c r="BB239" s="81"/>
      <c r="BC239" s="81"/>
      <c r="BD239" s="81"/>
    </row>
    <row r="240" ht="15.0" customHeight="1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81"/>
      <c r="AD240" s="81"/>
      <c r="AE240" s="81"/>
      <c r="AF240" s="81"/>
      <c r="AG240" s="81"/>
      <c r="AH240" s="81"/>
      <c r="AI240" s="81"/>
      <c r="AJ240" s="81"/>
      <c r="AK240" s="81"/>
      <c r="AL240" s="81"/>
      <c r="AM240" s="81"/>
      <c r="AN240" s="81"/>
      <c r="AO240" s="81"/>
      <c r="AP240" s="81"/>
      <c r="AQ240" s="81"/>
      <c r="AR240" s="81"/>
      <c r="AS240" s="81"/>
      <c r="AT240" s="81"/>
      <c r="AU240" s="81"/>
      <c r="AV240" s="81"/>
      <c r="AW240" s="81"/>
      <c r="AX240" s="81"/>
      <c r="AY240" s="81"/>
      <c r="AZ240" s="81"/>
      <c r="BA240" s="81"/>
      <c r="BB240" s="81"/>
      <c r="BC240" s="81"/>
      <c r="BD240" s="81"/>
    </row>
    <row r="241" ht="15.0" customHeight="1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81"/>
      <c r="AO241" s="81"/>
      <c r="AP241" s="81"/>
      <c r="AQ241" s="81"/>
      <c r="AR241" s="81"/>
      <c r="AS241" s="81"/>
      <c r="AT241" s="81"/>
      <c r="AU241" s="81"/>
      <c r="AV241" s="81"/>
      <c r="AW241" s="81"/>
      <c r="AX241" s="81"/>
      <c r="AY241" s="81"/>
      <c r="AZ241" s="81"/>
      <c r="BA241" s="81"/>
      <c r="BB241" s="81"/>
      <c r="BC241" s="81"/>
      <c r="BD241" s="81"/>
    </row>
    <row r="242" ht="15.0" customHeight="1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1"/>
    </row>
    <row r="243" ht="15.0" customHeight="1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81"/>
      <c r="AD243" s="81"/>
      <c r="AE243" s="81"/>
      <c r="AF243" s="81"/>
      <c r="AG243" s="81"/>
      <c r="AH243" s="81"/>
      <c r="AI243" s="81"/>
      <c r="AJ243" s="81"/>
      <c r="AK243" s="81"/>
      <c r="AL243" s="81"/>
      <c r="AM243" s="81"/>
      <c r="AN243" s="81"/>
      <c r="AO243" s="81"/>
      <c r="AP243" s="81"/>
      <c r="AQ243" s="81"/>
      <c r="AR243" s="81"/>
      <c r="AS243" s="81"/>
      <c r="AT243" s="81"/>
      <c r="AU243" s="81"/>
      <c r="AV243" s="81"/>
      <c r="AW243" s="81"/>
      <c r="AX243" s="81"/>
      <c r="AY243" s="81"/>
      <c r="AZ243" s="81"/>
      <c r="BA243" s="81"/>
      <c r="BB243" s="81"/>
      <c r="BC243" s="81"/>
      <c r="BD243" s="81"/>
    </row>
    <row r="244" ht="15.0" customHeight="1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1"/>
    </row>
    <row r="245" ht="15.0" customHeight="1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</row>
    <row r="246" ht="15.0" customHeight="1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1"/>
      <c r="AN246" s="81"/>
      <c r="AO246" s="81"/>
      <c r="AP246" s="81"/>
      <c r="AQ246" s="81"/>
      <c r="AR246" s="81"/>
      <c r="AS246" s="81"/>
      <c r="AT246" s="81"/>
      <c r="AU246" s="81"/>
      <c r="AV246" s="81"/>
      <c r="AW246" s="81"/>
      <c r="AX246" s="81"/>
      <c r="AY246" s="81"/>
      <c r="AZ246" s="81"/>
      <c r="BA246" s="81"/>
      <c r="BB246" s="81"/>
      <c r="BC246" s="81"/>
      <c r="BD246" s="81"/>
    </row>
    <row r="247" ht="15.0" customHeight="1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/>
      <c r="AO247" s="81"/>
      <c r="AP247" s="81"/>
      <c r="AQ247" s="81"/>
      <c r="AR247" s="81"/>
      <c r="AS247" s="81"/>
      <c r="AT247" s="81"/>
      <c r="AU247" s="81"/>
      <c r="AV247" s="81"/>
      <c r="AW247" s="81"/>
      <c r="AX247" s="81"/>
      <c r="AY247" s="81"/>
      <c r="AZ247" s="81"/>
      <c r="BA247" s="81"/>
      <c r="BB247" s="81"/>
      <c r="BC247" s="81"/>
      <c r="BD247" s="81"/>
    </row>
    <row r="248" ht="15.0" customHeight="1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1"/>
    </row>
    <row r="249" ht="15.0" customHeight="1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81"/>
      <c r="AZ249" s="81"/>
      <c r="BA249" s="81"/>
      <c r="BB249" s="81"/>
      <c r="BC249" s="81"/>
      <c r="BD249" s="81"/>
    </row>
    <row r="250" ht="15.0" customHeight="1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1"/>
      <c r="AN250" s="81"/>
      <c r="AO250" s="81"/>
      <c r="AP250" s="81"/>
      <c r="AQ250" s="81"/>
      <c r="AR250" s="81"/>
      <c r="AS250" s="81"/>
      <c r="AT250" s="81"/>
      <c r="AU250" s="81"/>
      <c r="AV250" s="81"/>
      <c r="AW250" s="81"/>
      <c r="AX250" s="81"/>
      <c r="AY250" s="81"/>
      <c r="AZ250" s="81"/>
      <c r="BA250" s="81"/>
      <c r="BB250" s="81"/>
      <c r="BC250" s="81"/>
      <c r="BD250" s="81"/>
    </row>
    <row r="251" ht="15.0" customHeight="1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1"/>
      <c r="AN251" s="81"/>
      <c r="AO251" s="81"/>
      <c r="AP251" s="81"/>
      <c r="AQ251" s="81"/>
      <c r="AR251" s="81"/>
      <c r="AS251" s="81"/>
      <c r="AT251" s="81"/>
      <c r="AU251" s="81"/>
      <c r="AV251" s="81"/>
      <c r="AW251" s="81"/>
      <c r="AX251" s="81"/>
      <c r="AY251" s="81"/>
      <c r="AZ251" s="81"/>
      <c r="BA251" s="81"/>
      <c r="BB251" s="81"/>
      <c r="BC251" s="81"/>
      <c r="BD251" s="81"/>
    </row>
    <row r="252" ht="15.0" customHeight="1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1"/>
      <c r="AP252" s="81"/>
      <c r="AQ252" s="81"/>
      <c r="AR252" s="81"/>
      <c r="AS252" s="81"/>
      <c r="AT252" s="81"/>
      <c r="AU252" s="81"/>
      <c r="AV252" s="81"/>
      <c r="AW252" s="81"/>
      <c r="AX252" s="81"/>
      <c r="AY252" s="81"/>
      <c r="AZ252" s="81"/>
      <c r="BA252" s="81"/>
      <c r="BB252" s="81"/>
      <c r="BC252" s="81"/>
      <c r="BD252" s="81"/>
    </row>
    <row r="253" ht="15.0" customHeight="1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81"/>
      <c r="AD253" s="81"/>
      <c r="AE253" s="81"/>
      <c r="AF253" s="81"/>
      <c r="AG253" s="81"/>
      <c r="AH253" s="81"/>
      <c r="AI253" s="81"/>
      <c r="AJ253" s="81"/>
      <c r="AK253" s="81"/>
      <c r="AL253" s="81"/>
      <c r="AM253" s="81"/>
      <c r="AN253" s="81"/>
      <c r="AO253" s="81"/>
      <c r="AP253" s="81"/>
      <c r="AQ253" s="81"/>
      <c r="AR253" s="81"/>
      <c r="AS253" s="81"/>
      <c r="AT253" s="81"/>
      <c r="AU253" s="81"/>
      <c r="AV253" s="81"/>
      <c r="AW253" s="81"/>
      <c r="AX253" s="81"/>
      <c r="AY253" s="81"/>
      <c r="AZ253" s="81"/>
      <c r="BA253" s="81"/>
      <c r="BB253" s="81"/>
      <c r="BC253" s="81"/>
      <c r="BD253" s="81"/>
    </row>
    <row r="254" ht="15.0" customHeight="1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81"/>
      <c r="AO254" s="81"/>
      <c r="AP254" s="81"/>
      <c r="AQ254" s="81"/>
      <c r="AR254" s="81"/>
      <c r="AS254" s="81"/>
      <c r="AT254" s="81"/>
      <c r="AU254" s="81"/>
      <c r="AV254" s="81"/>
      <c r="AW254" s="81"/>
      <c r="AX254" s="81"/>
      <c r="AY254" s="81"/>
      <c r="AZ254" s="81"/>
      <c r="BA254" s="81"/>
      <c r="BB254" s="81"/>
      <c r="BC254" s="81"/>
      <c r="BD254" s="81"/>
    </row>
    <row r="255" ht="15.0" customHeight="1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1"/>
      <c r="AN255" s="81"/>
      <c r="AO255" s="81"/>
      <c r="AP255" s="81"/>
      <c r="AQ255" s="81"/>
      <c r="AR255" s="81"/>
      <c r="AS255" s="81"/>
      <c r="AT255" s="81"/>
      <c r="AU255" s="81"/>
      <c r="AV255" s="81"/>
      <c r="AW255" s="81"/>
      <c r="AX255" s="81"/>
      <c r="AY255" s="81"/>
      <c r="AZ255" s="81"/>
      <c r="BA255" s="81"/>
      <c r="BB255" s="81"/>
      <c r="BC255" s="81"/>
      <c r="BD255" s="81"/>
    </row>
    <row r="256" ht="15.0" customHeight="1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  <c r="AC256" s="81"/>
      <c r="AD256" s="81"/>
      <c r="AE256" s="81"/>
      <c r="AF256" s="81"/>
      <c r="AG256" s="81"/>
      <c r="AH256" s="81"/>
      <c r="AI256" s="81"/>
      <c r="AJ256" s="81"/>
      <c r="AK256" s="81"/>
      <c r="AL256" s="81"/>
      <c r="AM256" s="81"/>
      <c r="AN256" s="81"/>
      <c r="AO256" s="81"/>
      <c r="AP256" s="81"/>
      <c r="AQ256" s="81"/>
      <c r="AR256" s="81"/>
      <c r="AS256" s="81"/>
      <c r="AT256" s="81"/>
      <c r="AU256" s="81"/>
      <c r="AV256" s="81"/>
      <c r="AW256" s="81"/>
      <c r="AX256" s="81"/>
      <c r="AY256" s="81"/>
      <c r="AZ256" s="81"/>
      <c r="BA256" s="81"/>
      <c r="BB256" s="81"/>
      <c r="BC256" s="81"/>
      <c r="BD256" s="81"/>
    </row>
    <row r="257" ht="15.0" customHeight="1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1"/>
      <c r="AN257" s="81"/>
      <c r="AO257" s="81"/>
      <c r="AP257" s="81"/>
      <c r="AQ257" s="81"/>
      <c r="AR257" s="81"/>
      <c r="AS257" s="81"/>
      <c r="AT257" s="81"/>
      <c r="AU257" s="81"/>
      <c r="AV257" s="81"/>
      <c r="AW257" s="81"/>
      <c r="AX257" s="81"/>
      <c r="AY257" s="81"/>
      <c r="AZ257" s="81"/>
      <c r="BA257" s="81"/>
      <c r="BB257" s="81"/>
      <c r="BC257" s="81"/>
      <c r="BD257" s="81"/>
    </row>
    <row r="258" ht="15.0" customHeight="1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81"/>
      <c r="AO258" s="81"/>
      <c r="AP258" s="81"/>
      <c r="AQ258" s="81"/>
      <c r="AR258" s="81"/>
      <c r="AS258" s="81"/>
      <c r="AT258" s="81"/>
      <c r="AU258" s="81"/>
      <c r="AV258" s="81"/>
      <c r="AW258" s="81"/>
      <c r="AX258" s="81"/>
      <c r="AY258" s="81"/>
      <c r="AZ258" s="81"/>
      <c r="BA258" s="81"/>
      <c r="BB258" s="81"/>
      <c r="BC258" s="81"/>
      <c r="BD258" s="81"/>
    </row>
    <row r="259" ht="15.0" customHeight="1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  <c r="AO259" s="81"/>
      <c r="AP259" s="81"/>
      <c r="AQ259" s="81"/>
      <c r="AR259" s="81"/>
      <c r="AS259" s="81"/>
      <c r="AT259" s="81"/>
      <c r="AU259" s="81"/>
      <c r="AV259" s="81"/>
      <c r="AW259" s="81"/>
      <c r="AX259" s="81"/>
      <c r="AY259" s="81"/>
      <c r="AZ259" s="81"/>
      <c r="BA259" s="81"/>
      <c r="BB259" s="81"/>
      <c r="BC259" s="81"/>
      <c r="BD259" s="81"/>
    </row>
    <row r="260" ht="15.0" customHeight="1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1"/>
      <c r="AN260" s="81"/>
      <c r="AO260" s="81"/>
      <c r="AP260" s="81"/>
      <c r="AQ260" s="81"/>
      <c r="AR260" s="81"/>
      <c r="AS260" s="81"/>
      <c r="AT260" s="81"/>
      <c r="AU260" s="81"/>
      <c r="AV260" s="81"/>
      <c r="AW260" s="81"/>
      <c r="AX260" s="81"/>
      <c r="AY260" s="81"/>
      <c r="AZ260" s="81"/>
      <c r="BA260" s="81"/>
      <c r="BB260" s="81"/>
      <c r="BC260" s="81"/>
      <c r="BD260" s="81"/>
    </row>
    <row r="261" ht="15.0" customHeight="1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1"/>
      <c r="AO261" s="81"/>
      <c r="AP261" s="81"/>
      <c r="AQ261" s="81"/>
      <c r="AR261" s="81"/>
      <c r="AS261" s="81"/>
      <c r="AT261" s="81"/>
      <c r="AU261" s="81"/>
      <c r="AV261" s="81"/>
      <c r="AW261" s="81"/>
      <c r="AX261" s="81"/>
      <c r="AY261" s="81"/>
      <c r="AZ261" s="81"/>
      <c r="BA261" s="81"/>
      <c r="BB261" s="81"/>
      <c r="BC261" s="81"/>
      <c r="BD261" s="81"/>
    </row>
    <row r="262" ht="15.0" customHeight="1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81"/>
      <c r="AO262" s="81"/>
      <c r="AP262" s="81"/>
      <c r="AQ262" s="81"/>
      <c r="AR262" s="81"/>
      <c r="AS262" s="81"/>
      <c r="AT262" s="81"/>
      <c r="AU262" s="81"/>
      <c r="AV262" s="81"/>
      <c r="AW262" s="81"/>
      <c r="AX262" s="81"/>
      <c r="AY262" s="81"/>
      <c r="AZ262" s="81"/>
      <c r="BA262" s="81"/>
      <c r="BB262" s="81"/>
      <c r="BC262" s="81"/>
      <c r="BD262" s="81"/>
    </row>
    <row r="263" ht="15.0" customHeight="1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1"/>
      <c r="AN263" s="81"/>
      <c r="AO263" s="81"/>
      <c r="AP263" s="81"/>
      <c r="AQ263" s="81"/>
      <c r="AR263" s="81"/>
      <c r="AS263" s="81"/>
      <c r="AT263" s="81"/>
      <c r="AU263" s="81"/>
      <c r="AV263" s="81"/>
      <c r="AW263" s="81"/>
      <c r="AX263" s="81"/>
      <c r="AY263" s="81"/>
      <c r="AZ263" s="81"/>
      <c r="BA263" s="81"/>
      <c r="BB263" s="81"/>
      <c r="BC263" s="81"/>
      <c r="BD263" s="81"/>
    </row>
    <row r="264" ht="15.0" customHeight="1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1"/>
      <c r="AN264" s="81"/>
      <c r="AO264" s="81"/>
      <c r="AP264" s="81"/>
      <c r="AQ264" s="81"/>
      <c r="AR264" s="81"/>
      <c r="AS264" s="81"/>
      <c r="AT264" s="81"/>
      <c r="AU264" s="81"/>
      <c r="AV264" s="81"/>
      <c r="AW264" s="81"/>
      <c r="AX264" s="81"/>
      <c r="AY264" s="81"/>
      <c r="AZ264" s="81"/>
      <c r="BA264" s="81"/>
      <c r="BB264" s="81"/>
      <c r="BC264" s="81"/>
      <c r="BD264" s="81"/>
    </row>
    <row r="265" ht="15.0" customHeight="1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  <c r="AC265" s="81"/>
      <c r="AD265" s="81"/>
      <c r="AE265" s="81"/>
      <c r="AF265" s="81"/>
      <c r="AG265" s="81"/>
      <c r="AH265" s="81"/>
      <c r="AI265" s="81"/>
      <c r="AJ265" s="81"/>
      <c r="AK265" s="81"/>
      <c r="AL265" s="81"/>
      <c r="AM265" s="81"/>
      <c r="AN265" s="81"/>
      <c r="AO265" s="81"/>
      <c r="AP265" s="81"/>
      <c r="AQ265" s="81"/>
      <c r="AR265" s="81"/>
      <c r="AS265" s="81"/>
      <c r="AT265" s="81"/>
      <c r="AU265" s="81"/>
      <c r="AV265" s="81"/>
      <c r="AW265" s="81"/>
      <c r="AX265" s="81"/>
      <c r="AY265" s="81"/>
      <c r="AZ265" s="81"/>
      <c r="BA265" s="81"/>
      <c r="BB265" s="81"/>
      <c r="BC265" s="81"/>
      <c r="BD265" s="81"/>
    </row>
    <row r="266" ht="15.0" customHeight="1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1"/>
      <c r="AN266" s="81"/>
      <c r="AO266" s="81"/>
      <c r="AP266" s="81"/>
      <c r="AQ266" s="81"/>
      <c r="AR266" s="81"/>
      <c r="AS266" s="81"/>
      <c r="AT266" s="81"/>
      <c r="AU266" s="81"/>
      <c r="AV266" s="81"/>
      <c r="AW266" s="81"/>
      <c r="AX266" s="81"/>
      <c r="AY266" s="81"/>
      <c r="AZ266" s="81"/>
      <c r="BA266" s="81"/>
      <c r="BB266" s="81"/>
      <c r="BC266" s="81"/>
      <c r="BD266" s="81"/>
    </row>
    <row r="267" ht="15.0" customHeight="1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1"/>
      <c r="AN267" s="81"/>
      <c r="AO267" s="81"/>
      <c r="AP267" s="81"/>
      <c r="AQ267" s="81"/>
      <c r="AR267" s="81"/>
      <c r="AS267" s="81"/>
      <c r="AT267" s="81"/>
      <c r="AU267" s="81"/>
      <c r="AV267" s="81"/>
      <c r="AW267" s="81"/>
      <c r="AX267" s="81"/>
      <c r="AY267" s="81"/>
      <c r="AZ267" s="81"/>
      <c r="BA267" s="81"/>
      <c r="BB267" s="81"/>
      <c r="BC267" s="81"/>
      <c r="BD267" s="81"/>
    </row>
    <row r="268" ht="15.0" customHeight="1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81"/>
      <c r="AO268" s="81"/>
      <c r="AP268" s="81"/>
      <c r="AQ268" s="81"/>
      <c r="AR268" s="81"/>
      <c r="AS268" s="81"/>
      <c r="AT268" s="81"/>
      <c r="AU268" s="81"/>
      <c r="AV268" s="81"/>
      <c r="AW268" s="81"/>
      <c r="AX268" s="81"/>
      <c r="AY268" s="81"/>
      <c r="AZ268" s="81"/>
      <c r="BA268" s="81"/>
      <c r="BB268" s="81"/>
      <c r="BC268" s="81"/>
      <c r="BD268" s="81"/>
    </row>
    <row r="269" ht="15.0" customHeight="1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1"/>
      <c r="AN269" s="81"/>
      <c r="AO269" s="81"/>
      <c r="AP269" s="81"/>
      <c r="AQ269" s="81"/>
      <c r="AR269" s="81"/>
      <c r="AS269" s="81"/>
      <c r="AT269" s="81"/>
      <c r="AU269" s="81"/>
      <c r="AV269" s="81"/>
      <c r="AW269" s="81"/>
      <c r="AX269" s="81"/>
      <c r="AY269" s="81"/>
      <c r="AZ269" s="81"/>
      <c r="BA269" s="81"/>
      <c r="BB269" s="81"/>
      <c r="BC269" s="81"/>
      <c r="BD269" s="81"/>
    </row>
    <row r="270" ht="15.0" customHeight="1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  <c r="AC270" s="81"/>
      <c r="AD270" s="81"/>
      <c r="AE270" s="81"/>
      <c r="AF270" s="81"/>
      <c r="AG270" s="81"/>
      <c r="AH270" s="81"/>
      <c r="AI270" s="81"/>
      <c r="AJ270" s="81"/>
      <c r="AK270" s="81"/>
      <c r="AL270" s="81"/>
      <c r="AM270" s="81"/>
      <c r="AN270" s="81"/>
      <c r="AO270" s="81"/>
      <c r="AP270" s="81"/>
      <c r="AQ270" s="81"/>
      <c r="AR270" s="81"/>
      <c r="AS270" s="81"/>
      <c r="AT270" s="81"/>
      <c r="AU270" s="81"/>
      <c r="AV270" s="81"/>
      <c r="AW270" s="81"/>
      <c r="AX270" s="81"/>
      <c r="AY270" s="81"/>
      <c r="AZ270" s="81"/>
      <c r="BA270" s="81"/>
      <c r="BB270" s="81"/>
      <c r="BC270" s="81"/>
      <c r="BD270" s="81"/>
    </row>
    <row r="271" ht="15.0" customHeight="1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1"/>
      <c r="AN271" s="81"/>
      <c r="AO271" s="81"/>
      <c r="AP271" s="81"/>
      <c r="AQ271" s="81"/>
      <c r="AR271" s="81"/>
      <c r="AS271" s="81"/>
      <c r="AT271" s="81"/>
      <c r="AU271" s="81"/>
      <c r="AV271" s="81"/>
      <c r="AW271" s="81"/>
      <c r="AX271" s="81"/>
      <c r="AY271" s="81"/>
      <c r="AZ271" s="81"/>
      <c r="BA271" s="81"/>
      <c r="BB271" s="81"/>
      <c r="BC271" s="81"/>
      <c r="BD271" s="81"/>
    </row>
    <row r="272" ht="15.0" customHeight="1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1"/>
      <c r="AN272" s="81"/>
      <c r="AO272" s="81"/>
      <c r="AP272" s="81"/>
      <c r="AQ272" s="81"/>
      <c r="AR272" s="81"/>
      <c r="AS272" s="81"/>
      <c r="AT272" s="81"/>
      <c r="AU272" s="81"/>
      <c r="AV272" s="81"/>
      <c r="AW272" s="81"/>
      <c r="AX272" s="81"/>
      <c r="AY272" s="81"/>
      <c r="AZ272" s="81"/>
      <c r="BA272" s="81"/>
      <c r="BB272" s="81"/>
      <c r="BC272" s="81"/>
      <c r="BD272" s="81"/>
    </row>
    <row r="273" ht="15.0" customHeight="1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  <c r="AC273" s="81"/>
      <c r="AD273" s="81"/>
      <c r="AE273" s="81"/>
      <c r="AF273" s="81"/>
      <c r="AG273" s="81"/>
      <c r="AH273" s="81"/>
      <c r="AI273" s="81"/>
      <c r="AJ273" s="81"/>
      <c r="AK273" s="81"/>
      <c r="AL273" s="81"/>
      <c r="AM273" s="81"/>
      <c r="AN273" s="81"/>
      <c r="AO273" s="81"/>
      <c r="AP273" s="81"/>
      <c r="AQ273" s="81"/>
      <c r="AR273" s="81"/>
      <c r="AS273" s="81"/>
      <c r="AT273" s="81"/>
      <c r="AU273" s="81"/>
      <c r="AV273" s="81"/>
      <c r="AW273" s="81"/>
      <c r="AX273" s="81"/>
      <c r="AY273" s="81"/>
      <c r="AZ273" s="81"/>
      <c r="BA273" s="81"/>
      <c r="BB273" s="81"/>
      <c r="BC273" s="81"/>
      <c r="BD273" s="81"/>
    </row>
    <row r="274" ht="15.0" customHeight="1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1"/>
      <c r="AN274" s="81"/>
      <c r="AO274" s="81"/>
      <c r="AP274" s="81"/>
      <c r="AQ274" s="81"/>
      <c r="AR274" s="81"/>
      <c r="AS274" s="81"/>
      <c r="AT274" s="81"/>
      <c r="AU274" s="81"/>
      <c r="AV274" s="81"/>
      <c r="AW274" s="81"/>
      <c r="AX274" s="81"/>
      <c r="AY274" s="81"/>
      <c r="AZ274" s="81"/>
      <c r="BA274" s="81"/>
      <c r="BB274" s="81"/>
      <c r="BC274" s="81"/>
      <c r="BD274" s="81"/>
    </row>
    <row r="275" ht="15.0" customHeight="1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81"/>
      <c r="AO275" s="81"/>
      <c r="AP275" s="81"/>
      <c r="AQ275" s="81"/>
      <c r="AR275" s="81"/>
      <c r="AS275" s="81"/>
      <c r="AT275" s="81"/>
      <c r="AU275" s="81"/>
      <c r="AV275" s="81"/>
      <c r="AW275" s="81"/>
      <c r="AX275" s="81"/>
      <c r="AY275" s="81"/>
      <c r="AZ275" s="81"/>
      <c r="BA275" s="81"/>
      <c r="BB275" s="81"/>
      <c r="BC275" s="81"/>
      <c r="BD275" s="81"/>
    </row>
    <row r="276" ht="15.0" customHeight="1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  <c r="AC276" s="81"/>
      <c r="AD276" s="81"/>
      <c r="AE276" s="81"/>
      <c r="AF276" s="81"/>
      <c r="AG276" s="81"/>
      <c r="AH276" s="81"/>
      <c r="AI276" s="81"/>
      <c r="AJ276" s="81"/>
      <c r="AK276" s="81"/>
      <c r="AL276" s="81"/>
      <c r="AM276" s="81"/>
      <c r="AN276" s="81"/>
      <c r="AO276" s="81"/>
      <c r="AP276" s="81"/>
      <c r="AQ276" s="81"/>
      <c r="AR276" s="81"/>
      <c r="AS276" s="81"/>
      <c r="AT276" s="81"/>
      <c r="AU276" s="81"/>
      <c r="AV276" s="81"/>
      <c r="AW276" s="81"/>
      <c r="AX276" s="81"/>
      <c r="AY276" s="81"/>
      <c r="AZ276" s="81"/>
      <c r="BA276" s="81"/>
      <c r="BB276" s="81"/>
      <c r="BC276" s="81"/>
      <c r="BD276" s="81"/>
    </row>
    <row r="277" ht="15.0" customHeight="1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81"/>
      <c r="AO277" s="81"/>
      <c r="AP277" s="81"/>
      <c r="AQ277" s="81"/>
      <c r="AR277" s="81"/>
      <c r="AS277" s="81"/>
      <c r="AT277" s="81"/>
      <c r="AU277" s="81"/>
      <c r="AV277" s="81"/>
      <c r="AW277" s="81"/>
      <c r="AX277" s="81"/>
      <c r="AY277" s="81"/>
      <c r="AZ277" s="81"/>
      <c r="BA277" s="81"/>
      <c r="BB277" s="81"/>
      <c r="BC277" s="81"/>
      <c r="BD277" s="81"/>
    </row>
    <row r="278" ht="15.0" customHeight="1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1"/>
      <c r="AP278" s="81"/>
      <c r="AQ278" s="81"/>
      <c r="AR278" s="81"/>
      <c r="AS278" s="81"/>
      <c r="AT278" s="81"/>
      <c r="AU278" s="81"/>
      <c r="AV278" s="81"/>
      <c r="AW278" s="81"/>
      <c r="AX278" s="81"/>
      <c r="AY278" s="81"/>
      <c r="AZ278" s="81"/>
      <c r="BA278" s="81"/>
      <c r="BB278" s="81"/>
      <c r="BC278" s="81"/>
      <c r="BD278" s="81"/>
    </row>
    <row r="279" ht="15.0" customHeight="1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  <c r="AC279" s="81"/>
      <c r="AD279" s="81"/>
      <c r="AE279" s="81"/>
      <c r="AF279" s="81"/>
      <c r="AG279" s="81"/>
      <c r="AH279" s="81"/>
      <c r="AI279" s="81"/>
      <c r="AJ279" s="81"/>
      <c r="AK279" s="81"/>
      <c r="AL279" s="81"/>
      <c r="AM279" s="81"/>
      <c r="AN279" s="81"/>
      <c r="AO279" s="81"/>
      <c r="AP279" s="81"/>
      <c r="AQ279" s="81"/>
      <c r="AR279" s="81"/>
      <c r="AS279" s="81"/>
      <c r="AT279" s="81"/>
      <c r="AU279" s="81"/>
      <c r="AV279" s="81"/>
      <c r="AW279" s="81"/>
      <c r="AX279" s="81"/>
      <c r="AY279" s="81"/>
      <c r="AZ279" s="81"/>
      <c r="BA279" s="81"/>
      <c r="BB279" s="81"/>
      <c r="BC279" s="81"/>
      <c r="BD279" s="81"/>
    </row>
    <row r="280" ht="15.0" customHeight="1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1"/>
      <c r="AN280" s="81"/>
      <c r="AO280" s="81"/>
      <c r="AP280" s="81"/>
      <c r="AQ280" s="81"/>
      <c r="AR280" s="81"/>
      <c r="AS280" s="81"/>
      <c r="AT280" s="81"/>
      <c r="AU280" s="81"/>
      <c r="AV280" s="81"/>
      <c r="AW280" s="81"/>
      <c r="AX280" s="81"/>
      <c r="AY280" s="81"/>
      <c r="AZ280" s="81"/>
      <c r="BA280" s="81"/>
      <c r="BB280" s="81"/>
      <c r="BC280" s="81"/>
      <c r="BD280" s="81"/>
    </row>
    <row r="281" ht="15.0" customHeight="1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1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1"/>
      <c r="AN281" s="81"/>
      <c r="AO281" s="81"/>
      <c r="AP281" s="81"/>
      <c r="AQ281" s="81"/>
      <c r="AR281" s="81"/>
      <c r="AS281" s="81"/>
      <c r="AT281" s="81"/>
      <c r="AU281" s="81"/>
      <c r="AV281" s="81"/>
      <c r="AW281" s="81"/>
      <c r="AX281" s="81"/>
      <c r="AY281" s="81"/>
      <c r="AZ281" s="81"/>
      <c r="BA281" s="81"/>
      <c r="BB281" s="81"/>
      <c r="BC281" s="81"/>
      <c r="BD281" s="81"/>
    </row>
    <row r="282" ht="15.0" customHeight="1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81"/>
      <c r="AO282" s="81"/>
      <c r="AP282" s="81"/>
      <c r="AQ282" s="81"/>
      <c r="AR282" s="81"/>
      <c r="AS282" s="81"/>
      <c r="AT282" s="81"/>
      <c r="AU282" s="81"/>
      <c r="AV282" s="81"/>
      <c r="AW282" s="81"/>
      <c r="AX282" s="81"/>
      <c r="AY282" s="81"/>
      <c r="AZ282" s="81"/>
      <c r="BA282" s="81"/>
      <c r="BB282" s="81"/>
      <c r="BC282" s="81"/>
      <c r="BD282" s="81"/>
    </row>
    <row r="283" ht="15.0" customHeight="1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1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1"/>
      <c r="AN283" s="81"/>
      <c r="AO283" s="81"/>
      <c r="AP283" s="81"/>
      <c r="AQ283" s="81"/>
      <c r="AR283" s="81"/>
      <c r="AS283" s="81"/>
      <c r="AT283" s="81"/>
      <c r="AU283" s="81"/>
      <c r="AV283" s="81"/>
      <c r="AW283" s="81"/>
      <c r="AX283" s="81"/>
      <c r="AY283" s="81"/>
      <c r="AZ283" s="81"/>
      <c r="BA283" s="81"/>
      <c r="BB283" s="81"/>
      <c r="BC283" s="81"/>
      <c r="BD283" s="81"/>
    </row>
    <row r="284" ht="15.0" customHeight="1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1"/>
      <c r="AN284" s="81"/>
      <c r="AO284" s="81"/>
      <c r="AP284" s="81"/>
      <c r="AQ284" s="81"/>
      <c r="AR284" s="81"/>
      <c r="AS284" s="81"/>
      <c r="AT284" s="81"/>
      <c r="AU284" s="81"/>
      <c r="AV284" s="81"/>
      <c r="AW284" s="81"/>
      <c r="AX284" s="81"/>
      <c r="AY284" s="81"/>
      <c r="AZ284" s="81"/>
      <c r="BA284" s="81"/>
      <c r="BB284" s="81"/>
      <c r="BC284" s="81"/>
      <c r="BD284" s="81"/>
    </row>
    <row r="285" ht="15.0" customHeight="1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1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1"/>
      <c r="AN285" s="81"/>
      <c r="AO285" s="81"/>
      <c r="AP285" s="81"/>
      <c r="AQ285" s="81"/>
      <c r="AR285" s="81"/>
      <c r="AS285" s="81"/>
      <c r="AT285" s="81"/>
      <c r="AU285" s="81"/>
      <c r="AV285" s="81"/>
      <c r="AW285" s="81"/>
      <c r="AX285" s="81"/>
      <c r="AY285" s="81"/>
      <c r="AZ285" s="81"/>
      <c r="BA285" s="81"/>
      <c r="BB285" s="81"/>
      <c r="BC285" s="81"/>
      <c r="BD285" s="81"/>
    </row>
    <row r="286" ht="15.0" customHeight="1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1"/>
    </row>
    <row r="287" ht="15.0" customHeight="1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1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1"/>
      <c r="AN287" s="81"/>
      <c r="AO287" s="81"/>
      <c r="AP287" s="81"/>
      <c r="AQ287" s="81"/>
      <c r="AR287" s="81"/>
      <c r="AS287" s="81"/>
      <c r="AT287" s="81"/>
      <c r="AU287" s="81"/>
      <c r="AV287" s="81"/>
      <c r="AW287" s="81"/>
      <c r="AX287" s="81"/>
      <c r="AY287" s="81"/>
      <c r="AZ287" s="81"/>
      <c r="BA287" s="81"/>
      <c r="BB287" s="81"/>
      <c r="BC287" s="81"/>
      <c r="BD287" s="81"/>
    </row>
    <row r="288" ht="15.0" customHeight="1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1"/>
      <c r="AN288" s="81"/>
      <c r="AO288" s="81"/>
      <c r="AP288" s="81"/>
      <c r="AQ288" s="81"/>
      <c r="AR288" s="81"/>
      <c r="AS288" s="81"/>
      <c r="AT288" s="81"/>
      <c r="AU288" s="81"/>
      <c r="AV288" s="81"/>
      <c r="AW288" s="81"/>
      <c r="AX288" s="81"/>
      <c r="AY288" s="81"/>
      <c r="AZ288" s="81"/>
      <c r="BA288" s="81"/>
      <c r="BB288" s="81"/>
      <c r="BC288" s="81"/>
      <c r="BD288" s="81"/>
    </row>
    <row r="289" ht="15.0" customHeight="1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1"/>
      <c r="AC289" s="81"/>
      <c r="AD289" s="81"/>
      <c r="AE289" s="81"/>
      <c r="AF289" s="81"/>
      <c r="AG289" s="81"/>
      <c r="AH289" s="81"/>
      <c r="AI289" s="81"/>
      <c r="AJ289" s="81"/>
      <c r="AK289" s="81"/>
      <c r="AL289" s="81"/>
      <c r="AM289" s="81"/>
      <c r="AN289" s="81"/>
      <c r="AO289" s="81"/>
      <c r="AP289" s="81"/>
      <c r="AQ289" s="81"/>
      <c r="AR289" s="81"/>
      <c r="AS289" s="81"/>
      <c r="AT289" s="81"/>
      <c r="AU289" s="81"/>
      <c r="AV289" s="81"/>
      <c r="AW289" s="81"/>
      <c r="AX289" s="81"/>
      <c r="AY289" s="81"/>
      <c r="AZ289" s="81"/>
      <c r="BA289" s="81"/>
      <c r="BB289" s="81"/>
      <c r="BC289" s="81"/>
      <c r="BD289" s="81"/>
    </row>
    <row r="290" ht="15.0" customHeight="1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1"/>
      <c r="AC290" s="81"/>
      <c r="AD290" s="81"/>
      <c r="AE290" s="81"/>
      <c r="AF290" s="81"/>
      <c r="AG290" s="81"/>
      <c r="AH290" s="81"/>
      <c r="AI290" s="81"/>
      <c r="AJ290" s="81"/>
      <c r="AK290" s="81"/>
      <c r="AL290" s="81"/>
      <c r="AM290" s="81"/>
      <c r="AN290" s="81"/>
      <c r="AO290" s="81"/>
      <c r="AP290" s="81"/>
      <c r="AQ290" s="81"/>
      <c r="AR290" s="81"/>
      <c r="AS290" s="81"/>
      <c r="AT290" s="81"/>
      <c r="AU290" s="81"/>
      <c r="AV290" s="81"/>
      <c r="AW290" s="81"/>
      <c r="AX290" s="81"/>
      <c r="AY290" s="81"/>
      <c r="AZ290" s="81"/>
      <c r="BA290" s="81"/>
      <c r="BB290" s="81"/>
      <c r="BC290" s="81"/>
      <c r="BD290" s="81"/>
    </row>
    <row r="291" ht="15.0" customHeight="1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  <c r="AB291" s="81"/>
      <c r="AC291" s="81"/>
      <c r="AD291" s="81"/>
      <c r="AE291" s="81"/>
      <c r="AF291" s="81"/>
      <c r="AG291" s="81"/>
      <c r="AH291" s="81"/>
      <c r="AI291" s="81"/>
      <c r="AJ291" s="81"/>
      <c r="AK291" s="81"/>
      <c r="AL291" s="81"/>
      <c r="AM291" s="81"/>
      <c r="AN291" s="81"/>
      <c r="AO291" s="81"/>
      <c r="AP291" s="81"/>
      <c r="AQ291" s="81"/>
      <c r="AR291" s="81"/>
      <c r="AS291" s="81"/>
      <c r="AT291" s="81"/>
      <c r="AU291" s="81"/>
      <c r="AV291" s="81"/>
      <c r="AW291" s="81"/>
      <c r="AX291" s="81"/>
      <c r="AY291" s="81"/>
      <c r="AZ291" s="81"/>
      <c r="BA291" s="81"/>
      <c r="BB291" s="81"/>
      <c r="BC291" s="81"/>
      <c r="BD291" s="81"/>
    </row>
    <row r="292" ht="15.0" customHeight="1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1"/>
      <c r="AC292" s="81"/>
      <c r="AD292" s="81"/>
      <c r="AE292" s="81"/>
      <c r="AF292" s="81"/>
      <c r="AG292" s="81"/>
      <c r="AH292" s="81"/>
      <c r="AI292" s="81"/>
      <c r="AJ292" s="81"/>
      <c r="AK292" s="81"/>
      <c r="AL292" s="81"/>
      <c r="AM292" s="81"/>
      <c r="AN292" s="81"/>
      <c r="AO292" s="81"/>
      <c r="AP292" s="81"/>
      <c r="AQ292" s="81"/>
      <c r="AR292" s="81"/>
      <c r="AS292" s="81"/>
      <c r="AT292" s="81"/>
      <c r="AU292" s="81"/>
      <c r="AV292" s="81"/>
      <c r="AW292" s="81"/>
      <c r="AX292" s="81"/>
      <c r="AY292" s="81"/>
      <c r="AZ292" s="81"/>
      <c r="BA292" s="81"/>
      <c r="BB292" s="81"/>
      <c r="BC292" s="81"/>
      <c r="BD292" s="81"/>
    </row>
    <row r="293" ht="15.0" customHeight="1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1"/>
      <c r="AC293" s="81"/>
      <c r="AD293" s="81"/>
      <c r="AE293" s="81"/>
      <c r="AF293" s="81"/>
      <c r="AG293" s="81"/>
      <c r="AH293" s="81"/>
      <c r="AI293" s="81"/>
      <c r="AJ293" s="81"/>
      <c r="AK293" s="81"/>
      <c r="AL293" s="81"/>
      <c r="AM293" s="81"/>
      <c r="AN293" s="81"/>
      <c r="AO293" s="81"/>
      <c r="AP293" s="81"/>
      <c r="AQ293" s="81"/>
      <c r="AR293" s="81"/>
      <c r="AS293" s="81"/>
      <c r="AT293" s="81"/>
      <c r="AU293" s="81"/>
      <c r="AV293" s="81"/>
      <c r="AW293" s="81"/>
      <c r="AX293" s="81"/>
      <c r="AY293" s="81"/>
      <c r="AZ293" s="81"/>
      <c r="BA293" s="81"/>
      <c r="BB293" s="81"/>
      <c r="BC293" s="81"/>
      <c r="BD293" s="81"/>
    </row>
    <row r="294" ht="15.0" customHeight="1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1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1"/>
      <c r="AN294" s="81"/>
      <c r="AO294" s="81"/>
      <c r="AP294" s="81"/>
      <c r="AQ294" s="81"/>
      <c r="AR294" s="81"/>
      <c r="AS294" s="81"/>
      <c r="AT294" s="81"/>
      <c r="AU294" s="81"/>
      <c r="AV294" s="81"/>
      <c r="AW294" s="81"/>
      <c r="AX294" s="81"/>
      <c r="AY294" s="81"/>
      <c r="AZ294" s="81"/>
      <c r="BA294" s="81"/>
      <c r="BB294" s="81"/>
      <c r="BC294" s="81"/>
      <c r="BD294" s="81"/>
    </row>
    <row r="295" ht="15.0" customHeight="1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</row>
    <row r="296" ht="15.0" customHeight="1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  <c r="AC296" s="81"/>
      <c r="AD296" s="81"/>
      <c r="AE296" s="81"/>
      <c r="AF296" s="81"/>
      <c r="AG296" s="81"/>
      <c r="AH296" s="81"/>
      <c r="AI296" s="81"/>
      <c r="AJ296" s="81"/>
      <c r="AK296" s="81"/>
      <c r="AL296" s="81"/>
      <c r="AM296" s="81"/>
      <c r="AN296" s="81"/>
      <c r="AO296" s="81"/>
      <c r="AP296" s="81"/>
      <c r="AQ296" s="81"/>
      <c r="AR296" s="81"/>
      <c r="AS296" s="81"/>
      <c r="AT296" s="81"/>
      <c r="AU296" s="81"/>
      <c r="AV296" s="81"/>
      <c r="AW296" s="81"/>
      <c r="AX296" s="81"/>
      <c r="AY296" s="81"/>
      <c r="AZ296" s="81"/>
      <c r="BA296" s="81"/>
      <c r="BB296" s="81"/>
      <c r="BC296" s="81"/>
      <c r="BD296" s="81"/>
    </row>
    <row r="297" ht="15.0" customHeight="1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  <c r="AC297" s="81"/>
      <c r="AD297" s="81"/>
      <c r="AE297" s="81"/>
      <c r="AF297" s="81"/>
      <c r="AG297" s="81"/>
      <c r="AH297" s="81"/>
      <c r="AI297" s="81"/>
      <c r="AJ297" s="81"/>
      <c r="AK297" s="81"/>
      <c r="AL297" s="81"/>
      <c r="AM297" s="81"/>
      <c r="AN297" s="81"/>
      <c r="AO297" s="81"/>
      <c r="AP297" s="81"/>
      <c r="AQ297" s="81"/>
      <c r="AR297" s="81"/>
      <c r="AS297" s="81"/>
      <c r="AT297" s="81"/>
      <c r="AU297" s="81"/>
      <c r="AV297" s="81"/>
      <c r="AW297" s="81"/>
      <c r="AX297" s="81"/>
      <c r="AY297" s="81"/>
      <c r="AZ297" s="81"/>
      <c r="BA297" s="81"/>
      <c r="BB297" s="81"/>
      <c r="BC297" s="81"/>
      <c r="BD297" s="81"/>
    </row>
    <row r="298" ht="15.0" customHeight="1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  <c r="AC298" s="81"/>
      <c r="AD298" s="81"/>
      <c r="AE298" s="81"/>
      <c r="AF298" s="81"/>
      <c r="AG298" s="81"/>
      <c r="AH298" s="81"/>
      <c r="AI298" s="81"/>
      <c r="AJ298" s="81"/>
      <c r="AK298" s="81"/>
      <c r="AL298" s="81"/>
      <c r="AM298" s="81"/>
      <c r="AN298" s="81"/>
      <c r="AO298" s="81"/>
      <c r="AP298" s="81"/>
      <c r="AQ298" s="81"/>
      <c r="AR298" s="81"/>
      <c r="AS298" s="81"/>
      <c r="AT298" s="81"/>
      <c r="AU298" s="81"/>
      <c r="AV298" s="81"/>
      <c r="AW298" s="81"/>
      <c r="AX298" s="81"/>
      <c r="AY298" s="81"/>
      <c r="AZ298" s="81"/>
      <c r="BA298" s="81"/>
      <c r="BB298" s="81"/>
      <c r="BC298" s="81"/>
      <c r="BD298" s="81"/>
    </row>
    <row r="299" ht="15.0" customHeight="1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1"/>
      <c r="AC299" s="81"/>
      <c r="AD299" s="81"/>
      <c r="AE299" s="81"/>
      <c r="AF299" s="81"/>
      <c r="AG299" s="81"/>
      <c r="AH299" s="81"/>
      <c r="AI299" s="81"/>
      <c r="AJ299" s="81"/>
      <c r="AK299" s="81"/>
      <c r="AL299" s="81"/>
      <c r="AM299" s="81"/>
      <c r="AN299" s="81"/>
      <c r="AO299" s="81"/>
      <c r="AP299" s="81"/>
      <c r="AQ299" s="81"/>
      <c r="AR299" s="81"/>
      <c r="AS299" s="81"/>
      <c r="AT299" s="81"/>
      <c r="AU299" s="81"/>
      <c r="AV299" s="81"/>
      <c r="AW299" s="81"/>
      <c r="AX299" s="81"/>
      <c r="AY299" s="81"/>
      <c r="AZ299" s="81"/>
      <c r="BA299" s="81"/>
      <c r="BB299" s="81"/>
      <c r="BC299" s="81"/>
      <c r="BD299" s="81"/>
    </row>
    <row r="300" ht="15.0" customHeight="1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1"/>
      <c r="AN300" s="81"/>
      <c r="AO300" s="81"/>
      <c r="AP300" s="81"/>
      <c r="AQ300" s="81"/>
      <c r="AR300" s="81"/>
      <c r="AS300" s="81"/>
      <c r="AT300" s="81"/>
      <c r="AU300" s="81"/>
      <c r="AV300" s="81"/>
      <c r="AW300" s="81"/>
      <c r="AX300" s="81"/>
      <c r="AY300" s="81"/>
      <c r="AZ300" s="81"/>
      <c r="BA300" s="81"/>
      <c r="BB300" s="81"/>
      <c r="BC300" s="81"/>
      <c r="BD300" s="81"/>
    </row>
    <row r="301" ht="15.0" customHeight="1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1"/>
      <c r="AC301" s="81"/>
      <c r="AD301" s="81"/>
      <c r="AE301" s="81"/>
      <c r="AF301" s="81"/>
      <c r="AG301" s="81"/>
      <c r="AH301" s="81"/>
      <c r="AI301" s="81"/>
      <c r="AJ301" s="81"/>
      <c r="AK301" s="81"/>
      <c r="AL301" s="81"/>
      <c r="AM301" s="81"/>
      <c r="AN301" s="81"/>
      <c r="AO301" s="81"/>
      <c r="AP301" s="81"/>
      <c r="AQ301" s="81"/>
      <c r="AR301" s="81"/>
      <c r="AS301" s="81"/>
      <c r="AT301" s="81"/>
      <c r="AU301" s="81"/>
      <c r="AV301" s="81"/>
      <c r="AW301" s="81"/>
      <c r="AX301" s="81"/>
      <c r="AY301" s="81"/>
      <c r="AZ301" s="81"/>
      <c r="BA301" s="81"/>
      <c r="BB301" s="81"/>
      <c r="BC301" s="81"/>
      <c r="BD301" s="81"/>
    </row>
    <row r="302" ht="15.0" customHeight="1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1"/>
      <c r="AN302" s="81"/>
      <c r="AO302" s="81"/>
      <c r="AP302" s="81"/>
      <c r="AQ302" s="81"/>
      <c r="AR302" s="81"/>
      <c r="AS302" s="81"/>
      <c r="AT302" s="81"/>
      <c r="AU302" s="81"/>
      <c r="AV302" s="81"/>
      <c r="AW302" s="81"/>
      <c r="AX302" s="81"/>
      <c r="AY302" s="81"/>
      <c r="AZ302" s="81"/>
      <c r="BA302" s="81"/>
      <c r="BB302" s="81"/>
      <c r="BC302" s="81"/>
      <c r="BD302" s="81"/>
    </row>
    <row r="303" ht="15.0" customHeight="1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1"/>
      <c r="AC303" s="81"/>
      <c r="AD303" s="81"/>
      <c r="AE303" s="81"/>
      <c r="AF303" s="81"/>
      <c r="AG303" s="81"/>
      <c r="AH303" s="81"/>
      <c r="AI303" s="81"/>
      <c r="AJ303" s="81"/>
      <c r="AK303" s="81"/>
      <c r="AL303" s="81"/>
      <c r="AM303" s="81"/>
      <c r="AN303" s="81"/>
      <c r="AO303" s="81"/>
      <c r="AP303" s="81"/>
      <c r="AQ303" s="81"/>
      <c r="AR303" s="81"/>
      <c r="AS303" s="81"/>
      <c r="AT303" s="81"/>
      <c r="AU303" s="81"/>
      <c r="AV303" s="81"/>
      <c r="AW303" s="81"/>
      <c r="AX303" s="81"/>
      <c r="AY303" s="81"/>
      <c r="AZ303" s="81"/>
      <c r="BA303" s="81"/>
      <c r="BB303" s="81"/>
      <c r="BC303" s="81"/>
      <c r="BD303" s="81"/>
    </row>
    <row r="304" ht="15.0" customHeight="1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1"/>
      <c r="AC304" s="81"/>
      <c r="AD304" s="81"/>
      <c r="AE304" s="81"/>
      <c r="AF304" s="81"/>
      <c r="AG304" s="81"/>
      <c r="AH304" s="81"/>
      <c r="AI304" s="81"/>
      <c r="AJ304" s="81"/>
      <c r="AK304" s="81"/>
      <c r="AL304" s="81"/>
      <c r="AM304" s="81"/>
      <c r="AN304" s="81"/>
      <c r="AO304" s="81"/>
      <c r="AP304" s="81"/>
      <c r="AQ304" s="81"/>
      <c r="AR304" s="81"/>
      <c r="AS304" s="81"/>
      <c r="AT304" s="81"/>
      <c r="AU304" s="81"/>
      <c r="AV304" s="81"/>
      <c r="AW304" s="81"/>
      <c r="AX304" s="81"/>
      <c r="AY304" s="81"/>
      <c r="AZ304" s="81"/>
      <c r="BA304" s="81"/>
      <c r="BB304" s="81"/>
      <c r="BC304" s="81"/>
      <c r="BD304" s="81"/>
    </row>
    <row r="305" ht="15.0" customHeight="1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  <c r="AC305" s="81"/>
      <c r="AD305" s="81"/>
      <c r="AE305" s="81"/>
      <c r="AF305" s="81"/>
      <c r="AG305" s="81"/>
      <c r="AH305" s="81"/>
      <c r="AI305" s="81"/>
      <c r="AJ305" s="81"/>
      <c r="AK305" s="81"/>
      <c r="AL305" s="81"/>
      <c r="AM305" s="81"/>
      <c r="AN305" s="81"/>
      <c r="AO305" s="81"/>
      <c r="AP305" s="81"/>
      <c r="AQ305" s="81"/>
      <c r="AR305" s="81"/>
      <c r="AS305" s="81"/>
      <c r="AT305" s="81"/>
      <c r="AU305" s="81"/>
      <c r="AV305" s="81"/>
      <c r="AW305" s="81"/>
      <c r="AX305" s="81"/>
      <c r="AY305" s="81"/>
      <c r="AZ305" s="81"/>
      <c r="BA305" s="81"/>
      <c r="BB305" s="81"/>
      <c r="BC305" s="81"/>
      <c r="BD305" s="81"/>
    </row>
    <row r="306" ht="15.0" customHeight="1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1"/>
      <c r="AC306" s="81"/>
      <c r="AD306" s="81"/>
      <c r="AE306" s="81"/>
      <c r="AF306" s="81"/>
      <c r="AG306" s="81"/>
      <c r="AH306" s="81"/>
      <c r="AI306" s="81"/>
      <c r="AJ306" s="81"/>
      <c r="AK306" s="81"/>
      <c r="AL306" s="81"/>
      <c r="AM306" s="81"/>
      <c r="AN306" s="81"/>
      <c r="AO306" s="81"/>
      <c r="AP306" s="81"/>
      <c r="AQ306" s="81"/>
      <c r="AR306" s="81"/>
      <c r="AS306" s="81"/>
      <c r="AT306" s="81"/>
      <c r="AU306" s="81"/>
      <c r="AV306" s="81"/>
      <c r="AW306" s="81"/>
      <c r="AX306" s="81"/>
      <c r="AY306" s="81"/>
      <c r="AZ306" s="81"/>
      <c r="BA306" s="81"/>
      <c r="BB306" s="81"/>
      <c r="BC306" s="81"/>
      <c r="BD306" s="81"/>
    </row>
    <row r="307" ht="15.0" customHeight="1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1"/>
      <c r="AC307" s="81"/>
      <c r="AD307" s="81"/>
      <c r="AE307" s="81"/>
      <c r="AF307" s="81"/>
      <c r="AG307" s="81"/>
      <c r="AH307" s="81"/>
      <c r="AI307" s="81"/>
      <c r="AJ307" s="81"/>
      <c r="AK307" s="81"/>
      <c r="AL307" s="81"/>
      <c r="AM307" s="81"/>
      <c r="AN307" s="81"/>
      <c r="AO307" s="81"/>
      <c r="AP307" s="81"/>
      <c r="AQ307" s="81"/>
      <c r="AR307" s="81"/>
      <c r="AS307" s="81"/>
      <c r="AT307" s="81"/>
      <c r="AU307" s="81"/>
      <c r="AV307" s="81"/>
      <c r="AW307" s="81"/>
      <c r="AX307" s="81"/>
      <c r="AY307" s="81"/>
      <c r="AZ307" s="81"/>
      <c r="BA307" s="81"/>
      <c r="BB307" s="81"/>
      <c r="BC307" s="81"/>
      <c r="BD307" s="81"/>
    </row>
    <row r="308" ht="15.0" customHeight="1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1"/>
      <c r="AC308" s="81"/>
      <c r="AD308" s="81"/>
      <c r="AE308" s="81"/>
      <c r="AF308" s="81"/>
      <c r="AG308" s="81"/>
      <c r="AH308" s="81"/>
      <c r="AI308" s="81"/>
      <c r="AJ308" s="81"/>
      <c r="AK308" s="81"/>
      <c r="AL308" s="81"/>
      <c r="AM308" s="81"/>
      <c r="AN308" s="81"/>
      <c r="AO308" s="81"/>
      <c r="AP308" s="81"/>
      <c r="AQ308" s="81"/>
      <c r="AR308" s="81"/>
      <c r="AS308" s="81"/>
      <c r="AT308" s="81"/>
      <c r="AU308" s="81"/>
      <c r="AV308" s="81"/>
      <c r="AW308" s="81"/>
      <c r="AX308" s="81"/>
      <c r="AY308" s="81"/>
      <c r="AZ308" s="81"/>
      <c r="BA308" s="81"/>
      <c r="BB308" s="81"/>
      <c r="BC308" s="81"/>
      <c r="BD308" s="81"/>
    </row>
    <row r="309" ht="15.0" customHeight="1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1"/>
      <c r="AC309" s="81"/>
      <c r="AD309" s="81"/>
      <c r="AE309" s="81"/>
      <c r="AF309" s="81"/>
      <c r="AG309" s="81"/>
      <c r="AH309" s="81"/>
      <c r="AI309" s="81"/>
      <c r="AJ309" s="81"/>
      <c r="AK309" s="81"/>
      <c r="AL309" s="81"/>
      <c r="AM309" s="81"/>
      <c r="AN309" s="81"/>
      <c r="AO309" s="81"/>
      <c r="AP309" s="81"/>
      <c r="AQ309" s="81"/>
      <c r="AR309" s="81"/>
      <c r="AS309" s="81"/>
      <c r="AT309" s="81"/>
      <c r="AU309" s="81"/>
      <c r="AV309" s="81"/>
      <c r="AW309" s="81"/>
      <c r="AX309" s="81"/>
      <c r="AY309" s="81"/>
      <c r="AZ309" s="81"/>
      <c r="BA309" s="81"/>
      <c r="BB309" s="81"/>
      <c r="BC309" s="81"/>
      <c r="BD309" s="81"/>
    </row>
    <row r="310" ht="15.0" customHeight="1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1"/>
      <c r="AC310" s="81"/>
      <c r="AD310" s="81"/>
      <c r="AE310" s="81"/>
      <c r="AF310" s="81"/>
      <c r="AG310" s="81"/>
      <c r="AH310" s="81"/>
      <c r="AI310" s="81"/>
      <c r="AJ310" s="81"/>
      <c r="AK310" s="81"/>
      <c r="AL310" s="81"/>
      <c r="AM310" s="81"/>
      <c r="AN310" s="81"/>
      <c r="AO310" s="81"/>
      <c r="AP310" s="81"/>
      <c r="AQ310" s="81"/>
      <c r="AR310" s="81"/>
      <c r="AS310" s="81"/>
      <c r="AT310" s="81"/>
      <c r="AU310" s="81"/>
      <c r="AV310" s="81"/>
      <c r="AW310" s="81"/>
      <c r="AX310" s="81"/>
      <c r="AY310" s="81"/>
      <c r="AZ310" s="81"/>
      <c r="BA310" s="81"/>
      <c r="BB310" s="81"/>
      <c r="BC310" s="81"/>
      <c r="BD310" s="81"/>
    </row>
    <row r="311" ht="15.0" customHeight="1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1"/>
      <c r="AC311" s="81"/>
      <c r="AD311" s="81"/>
      <c r="AE311" s="81"/>
      <c r="AF311" s="81"/>
      <c r="AG311" s="81"/>
      <c r="AH311" s="81"/>
      <c r="AI311" s="81"/>
      <c r="AJ311" s="81"/>
      <c r="AK311" s="81"/>
      <c r="AL311" s="81"/>
      <c r="AM311" s="81"/>
      <c r="AN311" s="81"/>
      <c r="AO311" s="81"/>
      <c r="AP311" s="81"/>
      <c r="AQ311" s="81"/>
      <c r="AR311" s="81"/>
      <c r="AS311" s="81"/>
      <c r="AT311" s="81"/>
      <c r="AU311" s="81"/>
      <c r="AV311" s="81"/>
      <c r="AW311" s="81"/>
      <c r="AX311" s="81"/>
      <c r="AY311" s="81"/>
      <c r="AZ311" s="81"/>
      <c r="BA311" s="81"/>
      <c r="BB311" s="81"/>
      <c r="BC311" s="81"/>
      <c r="BD311" s="81"/>
    </row>
    <row r="312" ht="15.0" customHeight="1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  <c r="AB312" s="81"/>
      <c r="AC312" s="81"/>
      <c r="AD312" s="81"/>
      <c r="AE312" s="81"/>
      <c r="AF312" s="81"/>
      <c r="AG312" s="81"/>
      <c r="AH312" s="81"/>
      <c r="AI312" s="81"/>
      <c r="AJ312" s="81"/>
      <c r="AK312" s="81"/>
      <c r="AL312" s="81"/>
      <c r="AM312" s="81"/>
      <c r="AN312" s="81"/>
      <c r="AO312" s="81"/>
      <c r="AP312" s="81"/>
      <c r="AQ312" s="81"/>
      <c r="AR312" s="81"/>
      <c r="AS312" s="81"/>
      <c r="AT312" s="81"/>
      <c r="AU312" s="81"/>
      <c r="AV312" s="81"/>
      <c r="AW312" s="81"/>
      <c r="AX312" s="81"/>
      <c r="AY312" s="81"/>
      <c r="AZ312" s="81"/>
      <c r="BA312" s="81"/>
      <c r="BB312" s="81"/>
      <c r="BC312" s="81"/>
      <c r="BD312" s="81"/>
    </row>
    <row r="313" ht="15.0" customHeight="1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  <c r="AB313" s="81"/>
      <c r="AC313" s="81"/>
      <c r="AD313" s="81"/>
      <c r="AE313" s="81"/>
      <c r="AF313" s="81"/>
      <c r="AG313" s="81"/>
      <c r="AH313" s="81"/>
      <c r="AI313" s="81"/>
      <c r="AJ313" s="81"/>
      <c r="AK313" s="81"/>
      <c r="AL313" s="81"/>
      <c r="AM313" s="81"/>
      <c r="AN313" s="81"/>
      <c r="AO313" s="81"/>
      <c r="AP313" s="81"/>
      <c r="AQ313" s="81"/>
      <c r="AR313" s="81"/>
      <c r="AS313" s="81"/>
      <c r="AT313" s="81"/>
      <c r="AU313" s="81"/>
      <c r="AV313" s="81"/>
      <c r="AW313" s="81"/>
      <c r="AX313" s="81"/>
      <c r="AY313" s="81"/>
      <c r="AZ313" s="81"/>
      <c r="BA313" s="81"/>
      <c r="BB313" s="81"/>
      <c r="BC313" s="81"/>
      <c r="BD313" s="81"/>
    </row>
    <row r="314" ht="15.0" customHeight="1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1"/>
      <c r="AC314" s="81"/>
      <c r="AD314" s="81"/>
      <c r="AE314" s="81"/>
      <c r="AF314" s="81"/>
      <c r="AG314" s="81"/>
      <c r="AH314" s="81"/>
      <c r="AI314" s="81"/>
      <c r="AJ314" s="81"/>
      <c r="AK314" s="81"/>
      <c r="AL314" s="81"/>
      <c r="AM314" s="81"/>
      <c r="AN314" s="81"/>
      <c r="AO314" s="81"/>
      <c r="AP314" s="81"/>
      <c r="AQ314" s="81"/>
      <c r="AR314" s="81"/>
      <c r="AS314" s="81"/>
      <c r="AT314" s="81"/>
      <c r="AU314" s="81"/>
      <c r="AV314" s="81"/>
      <c r="AW314" s="81"/>
      <c r="AX314" s="81"/>
      <c r="AY314" s="81"/>
      <c r="AZ314" s="81"/>
      <c r="BA314" s="81"/>
      <c r="BB314" s="81"/>
      <c r="BC314" s="81"/>
      <c r="BD314" s="81"/>
    </row>
    <row r="315" ht="15.0" customHeight="1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1"/>
      <c r="AC315" s="81"/>
      <c r="AD315" s="81"/>
      <c r="AE315" s="81"/>
      <c r="AF315" s="81"/>
      <c r="AG315" s="81"/>
      <c r="AH315" s="81"/>
      <c r="AI315" s="81"/>
      <c r="AJ315" s="81"/>
      <c r="AK315" s="81"/>
      <c r="AL315" s="81"/>
      <c r="AM315" s="81"/>
      <c r="AN315" s="81"/>
      <c r="AO315" s="81"/>
      <c r="AP315" s="81"/>
      <c r="AQ315" s="81"/>
      <c r="AR315" s="81"/>
      <c r="AS315" s="81"/>
      <c r="AT315" s="81"/>
      <c r="AU315" s="81"/>
      <c r="AV315" s="81"/>
      <c r="AW315" s="81"/>
      <c r="AX315" s="81"/>
      <c r="AY315" s="81"/>
      <c r="AZ315" s="81"/>
      <c r="BA315" s="81"/>
      <c r="BB315" s="81"/>
      <c r="BC315" s="81"/>
      <c r="BD315" s="81"/>
    </row>
    <row r="316" ht="15.0" customHeight="1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1"/>
      <c r="AC316" s="81"/>
      <c r="AD316" s="81"/>
      <c r="AE316" s="81"/>
      <c r="AF316" s="81"/>
      <c r="AG316" s="81"/>
      <c r="AH316" s="81"/>
      <c r="AI316" s="81"/>
      <c r="AJ316" s="81"/>
      <c r="AK316" s="81"/>
      <c r="AL316" s="81"/>
      <c r="AM316" s="81"/>
      <c r="AN316" s="81"/>
      <c r="AO316" s="81"/>
      <c r="AP316" s="81"/>
      <c r="AQ316" s="81"/>
      <c r="AR316" s="81"/>
      <c r="AS316" s="81"/>
      <c r="AT316" s="81"/>
      <c r="AU316" s="81"/>
      <c r="AV316" s="81"/>
      <c r="AW316" s="81"/>
      <c r="AX316" s="81"/>
      <c r="AY316" s="81"/>
      <c r="AZ316" s="81"/>
      <c r="BA316" s="81"/>
      <c r="BB316" s="81"/>
      <c r="BC316" s="81"/>
      <c r="BD316" s="81"/>
    </row>
    <row r="317" ht="15.0" customHeight="1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  <c r="AB317" s="81"/>
      <c r="AC317" s="81"/>
      <c r="AD317" s="81"/>
      <c r="AE317" s="81"/>
      <c r="AF317" s="81"/>
      <c r="AG317" s="81"/>
      <c r="AH317" s="81"/>
      <c r="AI317" s="81"/>
      <c r="AJ317" s="81"/>
      <c r="AK317" s="81"/>
      <c r="AL317" s="81"/>
      <c r="AM317" s="81"/>
      <c r="AN317" s="81"/>
      <c r="AO317" s="81"/>
      <c r="AP317" s="81"/>
      <c r="AQ317" s="81"/>
      <c r="AR317" s="81"/>
      <c r="AS317" s="81"/>
      <c r="AT317" s="81"/>
      <c r="AU317" s="81"/>
      <c r="AV317" s="81"/>
      <c r="AW317" s="81"/>
      <c r="AX317" s="81"/>
      <c r="AY317" s="81"/>
      <c r="AZ317" s="81"/>
      <c r="BA317" s="81"/>
      <c r="BB317" s="81"/>
      <c r="BC317" s="81"/>
      <c r="BD317" s="81"/>
    </row>
    <row r="318" ht="15.0" customHeight="1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1"/>
      <c r="AC318" s="81"/>
      <c r="AD318" s="81"/>
      <c r="AE318" s="81"/>
      <c r="AF318" s="81"/>
      <c r="AG318" s="81"/>
      <c r="AH318" s="81"/>
      <c r="AI318" s="81"/>
      <c r="AJ318" s="81"/>
      <c r="AK318" s="81"/>
      <c r="AL318" s="81"/>
      <c r="AM318" s="81"/>
      <c r="AN318" s="81"/>
      <c r="AO318" s="81"/>
      <c r="AP318" s="81"/>
      <c r="AQ318" s="81"/>
      <c r="AR318" s="81"/>
      <c r="AS318" s="81"/>
      <c r="AT318" s="81"/>
      <c r="AU318" s="81"/>
      <c r="AV318" s="81"/>
      <c r="AW318" s="81"/>
      <c r="AX318" s="81"/>
      <c r="AY318" s="81"/>
      <c r="AZ318" s="81"/>
      <c r="BA318" s="81"/>
      <c r="BB318" s="81"/>
      <c r="BC318" s="81"/>
      <c r="BD318" s="81"/>
    </row>
    <row r="319" ht="15.0" customHeight="1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1"/>
      <c r="AC319" s="81"/>
      <c r="AD319" s="81"/>
      <c r="AE319" s="81"/>
      <c r="AF319" s="81"/>
      <c r="AG319" s="81"/>
      <c r="AH319" s="81"/>
      <c r="AI319" s="81"/>
      <c r="AJ319" s="81"/>
      <c r="AK319" s="81"/>
      <c r="AL319" s="81"/>
      <c r="AM319" s="81"/>
      <c r="AN319" s="81"/>
      <c r="AO319" s="81"/>
      <c r="AP319" s="81"/>
      <c r="AQ319" s="81"/>
      <c r="AR319" s="81"/>
      <c r="AS319" s="81"/>
      <c r="AT319" s="81"/>
      <c r="AU319" s="81"/>
      <c r="AV319" s="81"/>
      <c r="AW319" s="81"/>
      <c r="AX319" s="81"/>
      <c r="AY319" s="81"/>
      <c r="AZ319" s="81"/>
      <c r="BA319" s="81"/>
      <c r="BB319" s="81"/>
      <c r="BC319" s="81"/>
      <c r="BD319" s="81"/>
    </row>
    <row r="320" ht="15.0" customHeight="1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  <c r="AB320" s="81"/>
      <c r="AC320" s="81"/>
      <c r="AD320" s="81"/>
      <c r="AE320" s="81"/>
      <c r="AF320" s="81"/>
      <c r="AG320" s="81"/>
      <c r="AH320" s="81"/>
      <c r="AI320" s="81"/>
      <c r="AJ320" s="81"/>
      <c r="AK320" s="81"/>
      <c r="AL320" s="81"/>
      <c r="AM320" s="81"/>
      <c r="AN320" s="81"/>
      <c r="AO320" s="81"/>
      <c r="AP320" s="81"/>
      <c r="AQ320" s="81"/>
      <c r="AR320" s="81"/>
      <c r="AS320" s="81"/>
      <c r="AT320" s="81"/>
      <c r="AU320" s="81"/>
      <c r="AV320" s="81"/>
      <c r="AW320" s="81"/>
      <c r="AX320" s="81"/>
      <c r="AY320" s="81"/>
      <c r="AZ320" s="81"/>
      <c r="BA320" s="81"/>
      <c r="BB320" s="81"/>
      <c r="BC320" s="81"/>
      <c r="BD320" s="81"/>
    </row>
    <row r="321" ht="15.0" customHeight="1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  <c r="AB321" s="81"/>
      <c r="AC321" s="81"/>
      <c r="AD321" s="81"/>
      <c r="AE321" s="81"/>
      <c r="AF321" s="81"/>
      <c r="AG321" s="81"/>
      <c r="AH321" s="81"/>
      <c r="AI321" s="81"/>
      <c r="AJ321" s="81"/>
      <c r="AK321" s="81"/>
      <c r="AL321" s="81"/>
      <c r="AM321" s="81"/>
      <c r="AN321" s="81"/>
      <c r="AO321" s="81"/>
      <c r="AP321" s="81"/>
      <c r="AQ321" s="81"/>
      <c r="AR321" s="81"/>
      <c r="AS321" s="81"/>
      <c r="AT321" s="81"/>
      <c r="AU321" s="81"/>
      <c r="AV321" s="81"/>
      <c r="AW321" s="81"/>
      <c r="AX321" s="81"/>
      <c r="AY321" s="81"/>
      <c r="AZ321" s="81"/>
      <c r="BA321" s="81"/>
      <c r="BB321" s="81"/>
      <c r="BC321" s="81"/>
      <c r="BD321" s="81"/>
    </row>
    <row r="322" ht="15.0" customHeight="1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  <c r="AB322" s="81"/>
      <c r="AC322" s="81"/>
      <c r="AD322" s="81"/>
      <c r="AE322" s="81"/>
      <c r="AF322" s="81"/>
      <c r="AG322" s="81"/>
      <c r="AH322" s="81"/>
      <c r="AI322" s="81"/>
      <c r="AJ322" s="81"/>
      <c r="AK322" s="81"/>
      <c r="AL322" s="81"/>
      <c r="AM322" s="81"/>
      <c r="AN322" s="81"/>
      <c r="AO322" s="81"/>
      <c r="AP322" s="81"/>
      <c r="AQ322" s="81"/>
      <c r="AR322" s="81"/>
      <c r="AS322" s="81"/>
      <c r="AT322" s="81"/>
      <c r="AU322" s="81"/>
      <c r="AV322" s="81"/>
      <c r="AW322" s="81"/>
      <c r="AX322" s="81"/>
      <c r="AY322" s="81"/>
      <c r="AZ322" s="81"/>
      <c r="BA322" s="81"/>
      <c r="BB322" s="81"/>
      <c r="BC322" s="81"/>
      <c r="BD322" s="81"/>
    </row>
    <row r="323" ht="15.0" customHeight="1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  <c r="AB323" s="81"/>
      <c r="AC323" s="81"/>
      <c r="AD323" s="81"/>
      <c r="AE323" s="81"/>
      <c r="AF323" s="81"/>
      <c r="AG323" s="81"/>
      <c r="AH323" s="81"/>
      <c r="AI323" s="81"/>
      <c r="AJ323" s="81"/>
      <c r="AK323" s="81"/>
      <c r="AL323" s="81"/>
      <c r="AM323" s="81"/>
      <c r="AN323" s="81"/>
      <c r="AO323" s="81"/>
      <c r="AP323" s="81"/>
      <c r="AQ323" s="81"/>
      <c r="AR323" s="81"/>
      <c r="AS323" s="81"/>
      <c r="AT323" s="81"/>
      <c r="AU323" s="81"/>
      <c r="AV323" s="81"/>
      <c r="AW323" s="81"/>
      <c r="AX323" s="81"/>
      <c r="AY323" s="81"/>
      <c r="AZ323" s="81"/>
      <c r="BA323" s="81"/>
      <c r="BB323" s="81"/>
      <c r="BC323" s="81"/>
      <c r="BD323" s="81"/>
    </row>
    <row r="324" ht="15.0" customHeight="1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  <c r="AB324" s="81"/>
      <c r="AC324" s="81"/>
      <c r="AD324" s="81"/>
      <c r="AE324" s="81"/>
      <c r="AF324" s="81"/>
      <c r="AG324" s="81"/>
      <c r="AH324" s="81"/>
      <c r="AI324" s="81"/>
      <c r="AJ324" s="81"/>
      <c r="AK324" s="81"/>
      <c r="AL324" s="81"/>
      <c r="AM324" s="81"/>
      <c r="AN324" s="81"/>
      <c r="AO324" s="81"/>
      <c r="AP324" s="81"/>
      <c r="AQ324" s="81"/>
      <c r="AR324" s="81"/>
      <c r="AS324" s="81"/>
      <c r="AT324" s="81"/>
      <c r="AU324" s="81"/>
      <c r="AV324" s="81"/>
      <c r="AW324" s="81"/>
      <c r="AX324" s="81"/>
      <c r="AY324" s="81"/>
      <c r="AZ324" s="81"/>
      <c r="BA324" s="81"/>
      <c r="BB324" s="81"/>
      <c r="BC324" s="81"/>
      <c r="BD324" s="81"/>
    </row>
    <row r="325" ht="15.0" customHeight="1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  <c r="AB325" s="81"/>
      <c r="AC325" s="81"/>
      <c r="AD325" s="81"/>
      <c r="AE325" s="81"/>
      <c r="AF325" s="81"/>
      <c r="AG325" s="81"/>
      <c r="AH325" s="81"/>
      <c r="AI325" s="81"/>
      <c r="AJ325" s="81"/>
      <c r="AK325" s="81"/>
      <c r="AL325" s="81"/>
      <c r="AM325" s="81"/>
      <c r="AN325" s="81"/>
      <c r="AO325" s="81"/>
      <c r="AP325" s="81"/>
      <c r="AQ325" s="81"/>
      <c r="AR325" s="81"/>
      <c r="AS325" s="81"/>
      <c r="AT325" s="81"/>
      <c r="AU325" s="81"/>
      <c r="AV325" s="81"/>
      <c r="AW325" s="81"/>
      <c r="AX325" s="81"/>
      <c r="AY325" s="81"/>
      <c r="AZ325" s="81"/>
      <c r="BA325" s="81"/>
      <c r="BB325" s="81"/>
      <c r="BC325" s="81"/>
      <c r="BD325" s="81"/>
    </row>
    <row r="326" ht="15.0" customHeight="1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  <c r="AB326" s="81"/>
      <c r="AC326" s="81"/>
      <c r="AD326" s="81"/>
      <c r="AE326" s="81"/>
      <c r="AF326" s="81"/>
      <c r="AG326" s="81"/>
      <c r="AH326" s="81"/>
      <c r="AI326" s="81"/>
      <c r="AJ326" s="81"/>
      <c r="AK326" s="81"/>
      <c r="AL326" s="81"/>
      <c r="AM326" s="81"/>
      <c r="AN326" s="81"/>
      <c r="AO326" s="81"/>
      <c r="AP326" s="81"/>
      <c r="AQ326" s="81"/>
      <c r="AR326" s="81"/>
      <c r="AS326" s="81"/>
      <c r="AT326" s="81"/>
      <c r="AU326" s="81"/>
      <c r="AV326" s="81"/>
      <c r="AW326" s="81"/>
      <c r="AX326" s="81"/>
      <c r="AY326" s="81"/>
      <c r="AZ326" s="81"/>
      <c r="BA326" s="81"/>
      <c r="BB326" s="81"/>
      <c r="BC326" s="81"/>
      <c r="BD326" s="81"/>
    </row>
    <row r="327" ht="15.0" customHeight="1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1"/>
      <c r="AC327" s="81"/>
      <c r="AD327" s="81"/>
      <c r="AE327" s="81"/>
      <c r="AF327" s="81"/>
      <c r="AG327" s="81"/>
      <c r="AH327" s="81"/>
      <c r="AI327" s="81"/>
      <c r="AJ327" s="81"/>
      <c r="AK327" s="81"/>
      <c r="AL327" s="81"/>
      <c r="AM327" s="81"/>
      <c r="AN327" s="81"/>
      <c r="AO327" s="81"/>
      <c r="AP327" s="81"/>
      <c r="AQ327" s="81"/>
      <c r="AR327" s="81"/>
      <c r="AS327" s="81"/>
      <c r="AT327" s="81"/>
      <c r="AU327" s="81"/>
      <c r="AV327" s="81"/>
      <c r="AW327" s="81"/>
      <c r="AX327" s="81"/>
      <c r="AY327" s="81"/>
      <c r="AZ327" s="81"/>
      <c r="BA327" s="81"/>
      <c r="BB327" s="81"/>
      <c r="BC327" s="81"/>
      <c r="BD327" s="81"/>
    </row>
    <row r="328" ht="15.0" customHeight="1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1"/>
      <c r="AC328" s="81"/>
      <c r="AD328" s="81"/>
      <c r="AE328" s="81"/>
      <c r="AF328" s="81"/>
      <c r="AG328" s="81"/>
      <c r="AH328" s="81"/>
      <c r="AI328" s="81"/>
      <c r="AJ328" s="81"/>
      <c r="AK328" s="81"/>
      <c r="AL328" s="81"/>
      <c r="AM328" s="81"/>
      <c r="AN328" s="81"/>
      <c r="AO328" s="81"/>
      <c r="AP328" s="81"/>
      <c r="AQ328" s="81"/>
      <c r="AR328" s="81"/>
      <c r="AS328" s="81"/>
      <c r="AT328" s="81"/>
      <c r="AU328" s="81"/>
      <c r="AV328" s="81"/>
      <c r="AW328" s="81"/>
      <c r="AX328" s="81"/>
      <c r="AY328" s="81"/>
      <c r="AZ328" s="81"/>
      <c r="BA328" s="81"/>
      <c r="BB328" s="81"/>
      <c r="BC328" s="81"/>
      <c r="BD328" s="81"/>
    </row>
    <row r="329" ht="15.0" customHeight="1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  <c r="AB329" s="81"/>
      <c r="AC329" s="81"/>
      <c r="AD329" s="81"/>
      <c r="AE329" s="81"/>
      <c r="AF329" s="81"/>
      <c r="AG329" s="81"/>
      <c r="AH329" s="81"/>
      <c r="AI329" s="81"/>
      <c r="AJ329" s="81"/>
      <c r="AK329" s="81"/>
      <c r="AL329" s="81"/>
      <c r="AM329" s="81"/>
      <c r="AN329" s="81"/>
      <c r="AO329" s="81"/>
      <c r="AP329" s="81"/>
      <c r="AQ329" s="81"/>
      <c r="AR329" s="81"/>
      <c r="AS329" s="81"/>
      <c r="AT329" s="81"/>
      <c r="AU329" s="81"/>
      <c r="AV329" s="81"/>
      <c r="AW329" s="81"/>
      <c r="AX329" s="81"/>
      <c r="AY329" s="81"/>
      <c r="AZ329" s="81"/>
      <c r="BA329" s="81"/>
      <c r="BB329" s="81"/>
      <c r="BC329" s="81"/>
      <c r="BD329" s="81"/>
    </row>
    <row r="330" ht="15.0" customHeight="1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1"/>
      <c r="AC330" s="81"/>
      <c r="AD330" s="81"/>
      <c r="AE330" s="81"/>
      <c r="AF330" s="81"/>
      <c r="AG330" s="81"/>
      <c r="AH330" s="81"/>
      <c r="AI330" s="81"/>
      <c r="AJ330" s="81"/>
      <c r="AK330" s="81"/>
      <c r="AL330" s="81"/>
      <c r="AM330" s="81"/>
      <c r="AN330" s="81"/>
      <c r="AO330" s="81"/>
      <c r="AP330" s="81"/>
      <c r="AQ330" s="81"/>
      <c r="AR330" s="81"/>
      <c r="AS330" s="81"/>
      <c r="AT330" s="81"/>
      <c r="AU330" s="81"/>
      <c r="AV330" s="81"/>
      <c r="AW330" s="81"/>
      <c r="AX330" s="81"/>
      <c r="AY330" s="81"/>
      <c r="AZ330" s="81"/>
      <c r="BA330" s="81"/>
      <c r="BB330" s="81"/>
      <c r="BC330" s="81"/>
      <c r="BD330" s="81"/>
    </row>
    <row r="331" ht="15.0" customHeight="1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  <c r="AB331" s="81"/>
      <c r="AC331" s="81"/>
      <c r="AD331" s="81"/>
      <c r="AE331" s="81"/>
      <c r="AF331" s="81"/>
      <c r="AG331" s="81"/>
      <c r="AH331" s="81"/>
      <c r="AI331" s="81"/>
      <c r="AJ331" s="81"/>
      <c r="AK331" s="81"/>
      <c r="AL331" s="81"/>
      <c r="AM331" s="81"/>
      <c r="AN331" s="81"/>
      <c r="AO331" s="81"/>
      <c r="AP331" s="81"/>
      <c r="AQ331" s="81"/>
      <c r="AR331" s="81"/>
      <c r="AS331" s="81"/>
      <c r="AT331" s="81"/>
      <c r="AU331" s="81"/>
      <c r="AV331" s="81"/>
      <c r="AW331" s="81"/>
      <c r="AX331" s="81"/>
      <c r="AY331" s="81"/>
      <c r="AZ331" s="81"/>
      <c r="BA331" s="81"/>
      <c r="BB331" s="81"/>
      <c r="BC331" s="81"/>
      <c r="BD331" s="81"/>
    </row>
    <row r="332" ht="15.0" customHeight="1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  <c r="AB332" s="81"/>
      <c r="AC332" s="81"/>
      <c r="AD332" s="81"/>
      <c r="AE332" s="81"/>
      <c r="AF332" s="81"/>
      <c r="AG332" s="81"/>
      <c r="AH332" s="81"/>
      <c r="AI332" s="81"/>
      <c r="AJ332" s="81"/>
      <c r="AK332" s="81"/>
      <c r="AL332" s="81"/>
      <c r="AM332" s="81"/>
      <c r="AN332" s="81"/>
      <c r="AO332" s="81"/>
      <c r="AP332" s="81"/>
      <c r="AQ332" s="81"/>
      <c r="AR332" s="81"/>
      <c r="AS332" s="81"/>
      <c r="AT332" s="81"/>
      <c r="AU332" s="81"/>
      <c r="AV332" s="81"/>
      <c r="AW332" s="81"/>
      <c r="AX332" s="81"/>
      <c r="AY332" s="81"/>
      <c r="AZ332" s="81"/>
      <c r="BA332" s="81"/>
      <c r="BB332" s="81"/>
      <c r="BC332" s="81"/>
      <c r="BD332" s="81"/>
    </row>
    <row r="333" ht="15.0" customHeight="1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  <c r="AB333" s="81"/>
      <c r="AC333" s="81"/>
      <c r="AD333" s="81"/>
      <c r="AE333" s="81"/>
      <c r="AF333" s="81"/>
      <c r="AG333" s="81"/>
      <c r="AH333" s="81"/>
      <c r="AI333" s="81"/>
      <c r="AJ333" s="81"/>
      <c r="AK333" s="81"/>
      <c r="AL333" s="81"/>
      <c r="AM333" s="81"/>
      <c r="AN333" s="81"/>
      <c r="AO333" s="81"/>
      <c r="AP333" s="81"/>
      <c r="AQ333" s="81"/>
      <c r="AR333" s="81"/>
      <c r="AS333" s="81"/>
      <c r="AT333" s="81"/>
      <c r="AU333" s="81"/>
      <c r="AV333" s="81"/>
      <c r="AW333" s="81"/>
      <c r="AX333" s="81"/>
      <c r="AY333" s="81"/>
      <c r="AZ333" s="81"/>
      <c r="BA333" s="81"/>
      <c r="BB333" s="81"/>
      <c r="BC333" s="81"/>
      <c r="BD333" s="81"/>
    </row>
    <row r="334" ht="15.0" customHeight="1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  <c r="AB334" s="81"/>
      <c r="AC334" s="81"/>
      <c r="AD334" s="81"/>
      <c r="AE334" s="81"/>
      <c r="AF334" s="81"/>
      <c r="AG334" s="81"/>
      <c r="AH334" s="81"/>
      <c r="AI334" s="81"/>
      <c r="AJ334" s="81"/>
      <c r="AK334" s="81"/>
      <c r="AL334" s="81"/>
      <c r="AM334" s="81"/>
      <c r="AN334" s="81"/>
      <c r="AO334" s="81"/>
      <c r="AP334" s="81"/>
      <c r="AQ334" s="81"/>
      <c r="AR334" s="81"/>
      <c r="AS334" s="81"/>
      <c r="AT334" s="81"/>
      <c r="AU334" s="81"/>
      <c r="AV334" s="81"/>
      <c r="AW334" s="81"/>
      <c r="AX334" s="81"/>
      <c r="AY334" s="81"/>
      <c r="AZ334" s="81"/>
      <c r="BA334" s="81"/>
      <c r="BB334" s="81"/>
      <c r="BC334" s="81"/>
      <c r="BD334" s="81"/>
    </row>
    <row r="335" ht="15.0" customHeight="1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  <c r="AB335" s="81"/>
      <c r="AC335" s="81"/>
      <c r="AD335" s="81"/>
      <c r="AE335" s="81"/>
      <c r="AF335" s="81"/>
      <c r="AG335" s="81"/>
      <c r="AH335" s="81"/>
      <c r="AI335" s="81"/>
      <c r="AJ335" s="81"/>
      <c r="AK335" s="81"/>
      <c r="AL335" s="81"/>
      <c r="AM335" s="81"/>
      <c r="AN335" s="81"/>
      <c r="AO335" s="81"/>
      <c r="AP335" s="81"/>
      <c r="AQ335" s="81"/>
      <c r="AR335" s="81"/>
      <c r="AS335" s="81"/>
      <c r="AT335" s="81"/>
      <c r="AU335" s="81"/>
      <c r="AV335" s="81"/>
      <c r="AW335" s="81"/>
      <c r="AX335" s="81"/>
      <c r="AY335" s="81"/>
      <c r="AZ335" s="81"/>
      <c r="BA335" s="81"/>
      <c r="BB335" s="81"/>
      <c r="BC335" s="81"/>
      <c r="BD335" s="81"/>
    </row>
    <row r="336" ht="15.0" customHeight="1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  <c r="AB336" s="81"/>
      <c r="AC336" s="81"/>
      <c r="AD336" s="81"/>
      <c r="AE336" s="81"/>
      <c r="AF336" s="81"/>
      <c r="AG336" s="81"/>
      <c r="AH336" s="81"/>
      <c r="AI336" s="81"/>
      <c r="AJ336" s="81"/>
      <c r="AK336" s="81"/>
      <c r="AL336" s="81"/>
      <c r="AM336" s="81"/>
      <c r="AN336" s="81"/>
      <c r="AO336" s="81"/>
      <c r="AP336" s="81"/>
      <c r="AQ336" s="81"/>
      <c r="AR336" s="81"/>
      <c r="AS336" s="81"/>
      <c r="AT336" s="81"/>
      <c r="AU336" s="81"/>
      <c r="AV336" s="81"/>
      <c r="AW336" s="81"/>
      <c r="AX336" s="81"/>
      <c r="AY336" s="81"/>
      <c r="AZ336" s="81"/>
      <c r="BA336" s="81"/>
      <c r="BB336" s="81"/>
      <c r="BC336" s="81"/>
      <c r="BD336" s="81"/>
    </row>
    <row r="337" ht="15.0" customHeight="1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  <c r="AB337" s="81"/>
      <c r="AC337" s="81"/>
      <c r="AD337" s="81"/>
      <c r="AE337" s="81"/>
      <c r="AF337" s="81"/>
      <c r="AG337" s="81"/>
      <c r="AH337" s="81"/>
      <c r="AI337" s="81"/>
      <c r="AJ337" s="81"/>
      <c r="AK337" s="81"/>
      <c r="AL337" s="81"/>
      <c r="AM337" s="81"/>
      <c r="AN337" s="81"/>
      <c r="AO337" s="81"/>
      <c r="AP337" s="81"/>
      <c r="AQ337" s="81"/>
      <c r="AR337" s="81"/>
      <c r="AS337" s="81"/>
      <c r="AT337" s="81"/>
      <c r="AU337" s="81"/>
      <c r="AV337" s="81"/>
      <c r="AW337" s="81"/>
      <c r="AX337" s="81"/>
      <c r="AY337" s="81"/>
      <c r="AZ337" s="81"/>
      <c r="BA337" s="81"/>
      <c r="BB337" s="81"/>
      <c r="BC337" s="81"/>
      <c r="BD337" s="81"/>
    </row>
    <row r="338" ht="15.0" customHeight="1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  <c r="AB338" s="81"/>
      <c r="AC338" s="81"/>
      <c r="AD338" s="81"/>
      <c r="AE338" s="81"/>
      <c r="AF338" s="81"/>
      <c r="AG338" s="81"/>
      <c r="AH338" s="81"/>
      <c r="AI338" s="81"/>
      <c r="AJ338" s="81"/>
      <c r="AK338" s="81"/>
      <c r="AL338" s="81"/>
      <c r="AM338" s="81"/>
      <c r="AN338" s="81"/>
      <c r="AO338" s="81"/>
      <c r="AP338" s="81"/>
      <c r="AQ338" s="81"/>
      <c r="AR338" s="81"/>
      <c r="AS338" s="81"/>
      <c r="AT338" s="81"/>
      <c r="AU338" s="81"/>
      <c r="AV338" s="81"/>
      <c r="AW338" s="81"/>
      <c r="AX338" s="81"/>
      <c r="AY338" s="81"/>
      <c r="AZ338" s="81"/>
      <c r="BA338" s="81"/>
      <c r="BB338" s="81"/>
      <c r="BC338" s="81"/>
      <c r="BD338" s="81"/>
    </row>
    <row r="339" ht="15.0" customHeight="1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  <c r="AB339" s="81"/>
      <c r="AC339" s="81"/>
      <c r="AD339" s="81"/>
      <c r="AE339" s="81"/>
      <c r="AF339" s="81"/>
      <c r="AG339" s="81"/>
      <c r="AH339" s="81"/>
      <c r="AI339" s="81"/>
      <c r="AJ339" s="81"/>
      <c r="AK339" s="81"/>
      <c r="AL339" s="81"/>
      <c r="AM339" s="81"/>
      <c r="AN339" s="81"/>
      <c r="AO339" s="81"/>
      <c r="AP339" s="81"/>
      <c r="AQ339" s="81"/>
      <c r="AR339" s="81"/>
      <c r="AS339" s="81"/>
      <c r="AT339" s="81"/>
      <c r="AU339" s="81"/>
      <c r="AV339" s="81"/>
      <c r="AW339" s="81"/>
      <c r="AX339" s="81"/>
      <c r="AY339" s="81"/>
      <c r="AZ339" s="81"/>
      <c r="BA339" s="81"/>
      <c r="BB339" s="81"/>
      <c r="BC339" s="81"/>
      <c r="BD339" s="81"/>
    </row>
    <row r="340" ht="15.0" customHeight="1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  <c r="AB340" s="81"/>
      <c r="AC340" s="81"/>
      <c r="AD340" s="81"/>
      <c r="AE340" s="81"/>
      <c r="AF340" s="81"/>
      <c r="AG340" s="81"/>
      <c r="AH340" s="81"/>
      <c r="AI340" s="81"/>
      <c r="AJ340" s="81"/>
      <c r="AK340" s="81"/>
      <c r="AL340" s="81"/>
      <c r="AM340" s="81"/>
      <c r="AN340" s="81"/>
      <c r="AO340" s="81"/>
      <c r="AP340" s="81"/>
      <c r="AQ340" s="81"/>
      <c r="AR340" s="81"/>
      <c r="AS340" s="81"/>
      <c r="AT340" s="81"/>
      <c r="AU340" s="81"/>
      <c r="AV340" s="81"/>
      <c r="AW340" s="81"/>
      <c r="AX340" s="81"/>
      <c r="AY340" s="81"/>
      <c r="AZ340" s="81"/>
      <c r="BA340" s="81"/>
      <c r="BB340" s="81"/>
      <c r="BC340" s="81"/>
      <c r="BD340" s="81"/>
    </row>
    <row r="341" ht="15.0" customHeight="1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1"/>
      <c r="AC341" s="81"/>
      <c r="AD341" s="81"/>
      <c r="AE341" s="81"/>
      <c r="AF341" s="81"/>
      <c r="AG341" s="81"/>
      <c r="AH341" s="81"/>
      <c r="AI341" s="81"/>
      <c r="AJ341" s="81"/>
      <c r="AK341" s="81"/>
      <c r="AL341" s="81"/>
      <c r="AM341" s="81"/>
      <c r="AN341" s="81"/>
      <c r="AO341" s="81"/>
      <c r="AP341" s="81"/>
      <c r="AQ341" s="81"/>
      <c r="AR341" s="81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1"/>
    </row>
    <row r="342" ht="15.0" customHeight="1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1"/>
      <c r="AC342" s="81"/>
      <c r="AD342" s="81"/>
      <c r="AE342" s="81"/>
      <c r="AF342" s="81"/>
      <c r="AG342" s="81"/>
      <c r="AH342" s="81"/>
      <c r="AI342" s="81"/>
      <c r="AJ342" s="81"/>
      <c r="AK342" s="81"/>
      <c r="AL342" s="81"/>
      <c r="AM342" s="81"/>
      <c r="AN342" s="81"/>
      <c r="AO342" s="81"/>
      <c r="AP342" s="81"/>
      <c r="AQ342" s="81"/>
      <c r="AR342" s="81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1"/>
    </row>
    <row r="343" ht="15.0" customHeight="1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1"/>
      <c r="AC343" s="81"/>
      <c r="AD343" s="81"/>
      <c r="AE343" s="81"/>
      <c r="AF343" s="81"/>
      <c r="AG343" s="81"/>
      <c r="AH343" s="81"/>
      <c r="AI343" s="81"/>
      <c r="AJ343" s="81"/>
      <c r="AK343" s="81"/>
      <c r="AL343" s="81"/>
      <c r="AM343" s="81"/>
      <c r="AN343" s="81"/>
      <c r="AO343" s="81"/>
      <c r="AP343" s="81"/>
      <c r="AQ343" s="81"/>
      <c r="AR343" s="81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1"/>
    </row>
    <row r="344" ht="15.0" customHeight="1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  <c r="AB344" s="81"/>
      <c r="AC344" s="81"/>
      <c r="AD344" s="81"/>
      <c r="AE344" s="81"/>
      <c r="AF344" s="81"/>
      <c r="AG344" s="81"/>
      <c r="AH344" s="81"/>
      <c r="AI344" s="81"/>
      <c r="AJ344" s="81"/>
      <c r="AK344" s="81"/>
      <c r="AL344" s="81"/>
      <c r="AM344" s="81"/>
      <c r="AN344" s="81"/>
      <c r="AO344" s="81"/>
      <c r="AP344" s="81"/>
      <c r="AQ344" s="81"/>
      <c r="AR344" s="81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</row>
    <row r="345" ht="15.0" customHeight="1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  <c r="AB345" s="81"/>
      <c r="AC345" s="81"/>
      <c r="AD345" s="81"/>
      <c r="AE345" s="81"/>
      <c r="AF345" s="81"/>
      <c r="AG345" s="81"/>
      <c r="AH345" s="81"/>
      <c r="AI345" s="81"/>
      <c r="AJ345" s="81"/>
      <c r="AK345" s="81"/>
      <c r="AL345" s="81"/>
      <c r="AM345" s="81"/>
      <c r="AN345" s="81"/>
      <c r="AO345" s="81"/>
      <c r="AP345" s="81"/>
      <c r="AQ345" s="81"/>
      <c r="AR345" s="81"/>
      <c r="AS345" s="81"/>
      <c r="AT345" s="81"/>
      <c r="AU345" s="81"/>
      <c r="AV345" s="81"/>
      <c r="AW345" s="81"/>
      <c r="AX345" s="81"/>
      <c r="AY345" s="81"/>
      <c r="AZ345" s="81"/>
      <c r="BA345" s="81"/>
      <c r="BB345" s="81"/>
      <c r="BC345" s="81"/>
      <c r="BD345" s="81"/>
    </row>
    <row r="346" ht="15.0" customHeight="1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  <c r="AB346" s="81"/>
      <c r="AC346" s="81"/>
      <c r="AD346" s="81"/>
      <c r="AE346" s="81"/>
      <c r="AF346" s="81"/>
      <c r="AG346" s="81"/>
      <c r="AH346" s="81"/>
      <c r="AI346" s="81"/>
      <c r="AJ346" s="81"/>
      <c r="AK346" s="81"/>
      <c r="AL346" s="81"/>
      <c r="AM346" s="81"/>
      <c r="AN346" s="81"/>
      <c r="AO346" s="81"/>
      <c r="AP346" s="81"/>
      <c r="AQ346" s="81"/>
      <c r="AR346" s="81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1"/>
    </row>
    <row r="347" ht="15.0" customHeight="1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  <c r="AB347" s="81"/>
      <c r="AC347" s="81"/>
      <c r="AD347" s="81"/>
      <c r="AE347" s="81"/>
      <c r="AF347" s="81"/>
      <c r="AG347" s="81"/>
      <c r="AH347" s="81"/>
      <c r="AI347" s="81"/>
      <c r="AJ347" s="81"/>
      <c r="AK347" s="81"/>
      <c r="AL347" s="81"/>
      <c r="AM347" s="81"/>
      <c r="AN347" s="81"/>
      <c r="AO347" s="81"/>
      <c r="AP347" s="81"/>
      <c r="AQ347" s="81"/>
      <c r="AR347" s="81"/>
      <c r="AS347" s="81"/>
      <c r="AT347" s="81"/>
      <c r="AU347" s="81"/>
      <c r="AV347" s="81"/>
      <c r="AW347" s="81"/>
      <c r="AX347" s="81"/>
      <c r="AY347" s="81"/>
      <c r="AZ347" s="81"/>
      <c r="BA347" s="81"/>
      <c r="BB347" s="81"/>
      <c r="BC347" s="81"/>
      <c r="BD347" s="81"/>
    </row>
    <row r="348" ht="15.0" customHeight="1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  <c r="AB348" s="81"/>
      <c r="AC348" s="81"/>
      <c r="AD348" s="81"/>
      <c r="AE348" s="81"/>
      <c r="AF348" s="81"/>
      <c r="AG348" s="81"/>
      <c r="AH348" s="81"/>
      <c r="AI348" s="81"/>
      <c r="AJ348" s="81"/>
      <c r="AK348" s="81"/>
      <c r="AL348" s="81"/>
      <c r="AM348" s="81"/>
      <c r="AN348" s="81"/>
      <c r="AO348" s="81"/>
      <c r="AP348" s="81"/>
      <c r="AQ348" s="81"/>
      <c r="AR348" s="81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/>
      <c r="BC348" s="81"/>
      <c r="BD348" s="81"/>
    </row>
    <row r="349" ht="15.0" customHeight="1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  <c r="AB349" s="81"/>
      <c r="AC349" s="81"/>
      <c r="AD349" s="81"/>
      <c r="AE349" s="81"/>
      <c r="AF349" s="81"/>
      <c r="AG349" s="81"/>
      <c r="AH349" s="81"/>
      <c r="AI349" s="81"/>
      <c r="AJ349" s="81"/>
      <c r="AK349" s="81"/>
      <c r="AL349" s="81"/>
      <c r="AM349" s="81"/>
      <c r="AN349" s="81"/>
      <c r="AO349" s="81"/>
      <c r="AP349" s="81"/>
      <c r="AQ349" s="81"/>
      <c r="AR349" s="81"/>
      <c r="AS349" s="81"/>
      <c r="AT349" s="81"/>
      <c r="AU349" s="81"/>
      <c r="AV349" s="81"/>
      <c r="AW349" s="81"/>
      <c r="AX349" s="81"/>
      <c r="AY349" s="81"/>
      <c r="AZ349" s="81"/>
      <c r="BA349" s="81"/>
      <c r="BB349" s="81"/>
      <c r="BC349" s="81"/>
      <c r="BD349" s="81"/>
    </row>
    <row r="350" ht="15.0" customHeight="1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  <c r="AB350" s="81"/>
      <c r="AC350" s="81"/>
      <c r="AD350" s="81"/>
      <c r="AE350" s="81"/>
      <c r="AF350" s="81"/>
      <c r="AG350" s="81"/>
      <c r="AH350" s="81"/>
      <c r="AI350" s="81"/>
      <c r="AJ350" s="81"/>
      <c r="AK350" s="81"/>
      <c r="AL350" s="81"/>
      <c r="AM350" s="81"/>
      <c r="AN350" s="81"/>
      <c r="AO350" s="81"/>
      <c r="AP350" s="81"/>
      <c r="AQ350" s="81"/>
      <c r="AR350" s="81"/>
      <c r="AS350" s="81"/>
      <c r="AT350" s="81"/>
      <c r="AU350" s="81"/>
      <c r="AV350" s="81"/>
      <c r="AW350" s="81"/>
      <c r="AX350" s="81"/>
      <c r="AY350" s="81"/>
      <c r="AZ350" s="81"/>
      <c r="BA350" s="81"/>
      <c r="BB350" s="81"/>
      <c r="BC350" s="81"/>
      <c r="BD350" s="81"/>
    </row>
    <row r="351" ht="15.0" customHeight="1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  <c r="AB351" s="81"/>
      <c r="AC351" s="81"/>
      <c r="AD351" s="81"/>
      <c r="AE351" s="81"/>
      <c r="AF351" s="81"/>
      <c r="AG351" s="81"/>
      <c r="AH351" s="81"/>
      <c r="AI351" s="81"/>
      <c r="AJ351" s="81"/>
      <c r="AK351" s="81"/>
      <c r="AL351" s="81"/>
      <c r="AM351" s="81"/>
      <c r="AN351" s="81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1"/>
      <c r="AZ351" s="81"/>
      <c r="BA351" s="81"/>
      <c r="BB351" s="81"/>
      <c r="BC351" s="81"/>
      <c r="BD351" s="81"/>
    </row>
    <row r="352" ht="15.0" customHeight="1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  <c r="AB352" s="81"/>
      <c r="AC352" s="81"/>
      <c r="AD352" s="81"/>
      <c r="AE352" s="81"/>
      <c r="AF352" s="81"/>
      <c r="AG352" s="81"/>
      <c r="AH352" s="81"/>
      <c r="AI352" s="81"/>
      <c r="AJ352" s="81"/>
      <c r="AK352" s="81"/>
      <c r="AL352" s="81"/>
      <c r="AM352" s="81"/>
      <c r="AN352" s="81"/>
      <c r="AO352" s="81"/>
      <c r="AP352" s="81"/>
      <c r="AQ352" s="81"/>
      <c r="AR352" s="81"/>
      <c r="AS352" s="81"/>
      <c r="AT352" s="81"/>
      <c r="AU352" s="81"/>
      <c r="AV352" s="81"/>
      <c r="AW352" s="81"/>
      <c r="AX352" s="81"/>
      <c r="AY352" s="81"/>
      <c r="AZ352" s="81"/>
      <c r="BA352" s="81"/>
      <c r="BB352" s="81"/>
      <c r="BC352" s="81"/>
      <c r="BD352" s="81"/>
    </row>
    <row r="353" ht="15.0" customHeight="1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  <c r="AB353" s="81"/>
      <c r="AC353" s="81"/>
      <c r="AD353" s="81"/>
      <c r="AE353" s="81"/>
      <c r="AF353" s="81"/>
      <c r="AG353" s="81"/>
      <c r="AH353" s="81"/>
      <c r="AI353" s="81"/>
      <c r="AJ353" s="81"/>
      <c r="AK353" s="81"/>
      <c r="AL353" s="81"/>
      <c r="AM353" s="81"/>
      <c r="AN353" s="81"/>
      <c r="AO353" s="81"/>
      <c r="AP353" s="81"/>
      <c r="AQ353" s="81"/>
      <c r="AR353" s="81"/>
      <c r="AS353" s="81"/>
      <c r="AT353" s="81"/>
      <c r="AU353" s="81"/>
      <c r="AV353" s="81"/>
      <c r="AW353" s="81"/>
      <c r="AX353" s="81"/>
      <c r="AY353" s="81"/>
      <c r="AZ353" s="81"/>
      <c r="BA353" s="81"/>
      <c r="BB353" s="81"/>
      <c r="BC353" s="81"/>
      <c r="BD353" s="81"/>
    </row>
    <row r="354" ht="15.0" customHeight="1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1"/>
      <c r="AC354" s="81"/>
      <c r="AD354" s="81"/>
      <c r="AE354" s="81"/>
      <c r="AF354" s="81"/>
      <c r="AG354" s="81"/>
      <c r="AH354" s="81"/>
      <c r="AI354" s="81"/>
      <c r="AJ354" s="81"/>
      <c r="AK354" s="81"/>
      <c r="AL354" s="81"/>
      <c r="AM354" s="81"/>
      <c r="AN354" s="81"/>
      <c r="AO354" s="81"/>
      <c r="AP354" s="81"/>
      <c r="AQ354" s="81"/>
      <c r="AR354" s="81"/>
      <c r="AS354" s="81"/>
      <c r="AT354" s="81"/>
      <c r="AU354" s="81"/>
      <c r="AV354" s="81"/>
      <c r="AW354" s="81"/>
      <c r="AX354" s="81"/>
      <c r="AY354" s="81"/>
      <c r="AZ354" s="81"/>
      <c r="BA354" s="81"/>
      <c r="BB354" s="81"/>
      <c r="BC354" s="81"/>
      <c r="BD354" s="81"/>
    </row>
    <row r="355" ht="15.0" customHeight="1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  <c r="AB355" s="81"/>
      <c r="AC355" s="81"/>
      <c r="AD355" s="81"/>
      <c r="AE355" s="81"/>
      <c r="AF355" s="81"/>
      <c r="AG355" s="81"/>
      <c r="AH355" s="81"/>
      <c r="AI355" s="81"/>
      <c r="AJ355" s="81"/>
      <c r="AK355" s="81"/>
      <c r="AL355" s="81"/>
      <c r="AM355" s="81"/>
      <c r="AN355" s="81"/>
      <c r="AO355" s="81"/>
      <c r="AP355" s="81"/>
      <c r="AQ355" s="81"/>
      <c r="AR355" s="81"/>
      <c r="AS355" s="81"/>
      <c r="AT355" s="81"/>
      <c r="AU355" s="81"/>
      <c r="AV355" s="81"/>
      <c r="AW355" s="81"/>
      <c r="AX355" s="81"/>
      <c r="AY355" s="81"/>
      <c r="AZ355" s="81"/>
      <c r="BA355" s="81"/>
      <c r="BB355" s="81"/>
      <c r="BC355" s="81"/>
      <c r="BD355" s="81"/>
    </row>
    <row r="356" ht="15.0" customHeight="1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1"/>
      <c r="AN356" s="81"/>
      <c r="AO356" s="81"/>
      <c r="AP356" s="81"/>
      <c r="AQ356" s="81"/>
      <c r="AR356" s="81"/>
      <c r="AS356" s="81"/>
      <c r="AT356" s="81"/>
      <c r="AU356" s="81"/>
      <c r="AV356" s="81"/>
      <c r="AW356" s="81"/>
      <c r="AX356" s="81"/>
      <c r="AY356" s="81"/>
      <c r="AZ356" s="81"/>
      <c r="BA356" s="81"/>
      <c r="BB356" s="81"/>
      <c r="BC356" s="81"/>
      <c r="BD356" s="81"/>
    </row>
    <row r="357" ht="15.0" customHeight="1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  <c r="AC357" s="81"/>
      <c r="AD357" s="81"/>
      <c r="AE357" s="81"/>
      <c r="AF357" s="81"/>
      <c r="AG357" s="81"/>
      <c r="AH357" s="81"/>
      <c r="AI357" s="81"/>
      <c r="AJ357" s="81"/>
      <c r="AK357" s="81"/>
      <c r="AL357" s="81"/>
      <c r="AM357" s="81"/>
      <c r="AN357" s="81"/>
      <c r="AO357" s="81"/>
      <c r="AP357" s="81"/>
      <c r="AQ357" s="81"/>
      <c r="AR357" s="81"/>
      <c r="AS357" s="81"/>
      <c r="AT357" s="81"/>
      <c r="AU357" s="81"/>
      <c r="AV357" s="81"/>
      <c r="AW357" s="81"/>
      <c r="AX357" s="81"/>
      <c r="AY357" s="81"/>
      <c r="AZ357" s="81"/>
      <c r="BA357" s="81"/>
      <c r="BB357" s="81"/>
      <c r="BC357" s="81"/>
      <c r="BD357" s="81"/>
    </row>
    <row r="358" ht="15.0" customHeight="1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1"/>
      <c r="AN358" s="81"/>
      <c r="AO358" s="81"/>
      <c r="AP358" s="81"/>
      <c r="AQ358" s="81"/>
      <c r="AR358" s="81"/>
      <c r="AS358" s="81"/>
      <c r="AT358" s="81"/>
      <c r="AU358" s="81"/>
      <c r="AV358" s="81"/>
      <c r="AW358" s="81"/>
      <c r="AX358" s="81"/>
      <c r="AY358" s="81"/>
      <c r="AZ358" s="81"/>
      <c r="BA358" s="81"/>
      <c r="BB358" s="81"/>
      <c r="BC358" s="81"/>
      <c r="BD358" s="81"/>
    </row>
    <row r="359" ht="15.0" customHeight="1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</row>
    <row r="360" ht="15.0" customHeight="1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</row>
    <row r="361" ht="15.0" customHeight="1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</row>
    <row r="362" ht="15.0" customHeight="1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</row>
    <row r="363" ht="15.0" customHeight="1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</row>
    <row r="364" ht="15.0" customHeight="1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</row>
    <row r="365" ht="15.0" customHeight="1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</row>
    <row r="366" ht="15.0" customHeight="1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</row>
    <row r="367" ht="15.0" customHeight="1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</row>
    <row r="368" ht="15.0" customHeight="1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</row>
    <row r="369" ht="15.0" customHeight="1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</row>
    <row r="370" ht="15.0" customHeight="1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</row>
    <row r="371" ht="15.0" customHeight="1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</row>
    <row r="372" ht="15.0" customHeight="1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</row>
    <row r="373" ht="15.0" customHeight="1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</row>
    <row r="374" ht="15.0" customHeight="1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</row>
    <row r="375" ht="15.0" customHeight="1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</row>
    <row r="376" ht="15.0" customHeight="1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</row>
    <row r="377" ht="15.0" customHeight="1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</row>
    <row r="378" ht="15.0" customHeight="1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</row>
    <row r="379" ht="15.0" customHeight="1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1"/>
    </row>
    <row r="380" ht="15.0" customHeight="1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</row>
    <row r="381" ht="15.0" customHeight="1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</row>
    <row r="382" ht="15.0" customHeight="1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1"/>
    </row>
    <row r="383" ht="15.0" customHeight="1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1"/>
    </row>
    <row r="384" ht="15.0" customHeight="1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1"/>
    </row>
    <row r="385" ht="15.0" customHeight="1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1"/>
    </row>
    <row r="386" ht="15.0" customHeight="1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1"/>
    </row>
    <row r="387" ht="15.0" customHeight="1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1"/>
    </row>
    <row r="388" ht="15.0" customHeight="1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</row>
    <row r="389" ht="15.0" customHeight="1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1"/>
    </row>
    <row r="390" ht="15.0" customHeight="1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1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1"/>
    </row>
    <row r="391" ht="15.0" customHeight="1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1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1"/>
    </row>
    <row r="392" ht="15.0" customHeight="1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  <c r="AC392" s="81"/>
      <c r="AD392" s="81"/>
      <c r="AE392" s="81"/>
      <c r="AF392" s="81"/>
      <c r="AG392" s="81"/>
      <c r="AH392" s="81"/>
      <c r="AI392" s="81"/>
      <c r="AJ392" s="81"/>
      <c r="AK392" s="81"/>
      <c r="AL392" s="81"/>
      <c r="AM392" s="81"/>
      <c r="AN392" s="81"/>
      <c r="AO392" s="81"/>
      <c r="AP392" s="81"/>
      <c r="AQ392" s="81"/>
      <c r="AR392" s="81"/>
      <c r="AS392" s="81"/>
      <c r="AT392" s="81"/>
      <c r="AU392" s="81"/>
      <c r="AV392" s="81"/>
      <c r="AW392" s="81"/>
      <c r="AX392" s="81"/>
      <c r="AY392" s="81"/>
      <c r="AZ392" s="81"/>
      <c r="BA392" s="81"/>
      <c r="BB392" s="81"/>
      <c r="BC392" s="81"/>
      <c r="BD392" s="81"/>
    </row>
    <row r="393" ht="15.0" customHeight="1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1"/>
      <c r="AC393" s="81"/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1"/>
      <c r="BC393" s="81"/>
      <c r="BD393" s="81"/>
    </row>
    <row r="394" ht="15.0" customHeight="1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  <c r="AC394" s="81"/>
      <c r="AD394" s="81"/>
      <c r="AE394" s="81"/>
      <c r="AF394" s="81"/>
      <c r="AG394" s="81"/>
      <c r="AH394" s="81"/>
      <c r="AI394" s="81"/>
      <c r="AJ394" s="81"/>
      <c r="AK394" s="81"/>
      <c r="AL394" s="81"/>
      <c r="AM394" s="81"/>
      <c r="AN394" s="81"/>
      <c r="AO394" s="81"/>
      <c r="AP394" s="81"/>
      <c r="AQ394" s="81"/>
      <c r="AR394" s="81"/>
      <c r="AS394" s="81"/>
      <c r="AT394" s="81"/>
      <c r="AU394" s="81"/>
      <c r="AV394" s="81"/>
      <c r="AW394" s="81"/>
      <c r="AX394" s="81"/>
      <c r="AY394" s="81"/>
      <c r="AZ394" s="81"/>
      <c r="BA394" s="81"/>
      <c r="BB394" s="81"/>
      <c r="BC394" s="81"/>
      <c r="BD394" s="81"/>
    </row>
    <row r="395" ht="15.0" customHeight="1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  <c r="AB395" s="81"/>
      <c r="AC395" s="81"/>
      <c r="AD395" s="81"/>
      <c r="AE395" s="81"/>
      <c r="AF395" s="81"/>
      <c r="AG395" s="81"/>
      <c r="AH395" s="81"/>
      <c r="AI395" s="81"/>
      <c r="AJ395" s="81"/>
      <c r="AK395" s="81"/>
      <c r="AL395" s="81"/>
      <c r="AM395" s="81"/>
      <c r="AN395" s="81"/>
      <c r="AO395" s="81"/>
      <c r="AP395" s="81"/>
      <c r="AQ395" s="81"/>
      <c r="AR395" s="81"/>
      <c r="AS395" s="81"/>
      <c r="AT395" s="81"/>
      <c r="AU395" s="81"/>
      <c r="AV395" s="81"/>
      <c r="AW395" s="81"/>
      <c r="AX395" s="81"/>
      <c r="AY395" s="81"/>
      <c r="AZ395" s="81"/>
      <c r="BA395" s="81"/>
      <c r="BB395" s="81"/>
      <c r="BC395" s="81"/>
      <c r="BD395" s="81"/>
    </row>
    <row r="396" ht="15.0" customHeight="1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  <c r="AB396" s="81"/>
      <c r="AC396" s="81"/>
      <c r="AD396" s="81"/>
      <c r="AE396" s="81"/>
      <c r="AF396" s="81"/>
      <c r="AG396" s="81"/>
      <c r="AH396" s="81"/>
      <c r="AI396" s="81"/>
      <c r="AJ396" s="81"/>
      <c r="AK396" s="81"/>
      <c r="AL396" s="81"/>
      <c r="AM396" s="81"/>
      <c r="AN396" s="81"/>
      <c r="AO396" s="81"/>
      <c r="AP396" s="81"/>
      <c r="AQ396" s="81"/>
      <c r="AR396" s="81"/>
      <c r="AS396" s="81"/>
      <c r="AT396" s="81"/>
      <c r="AU396" s="81"/>
      <c r="AV396" s="81"/>
      <c r="AW396" s="81"/>
      <c r="AX396" s="81"/>
      <c r="AY396" s="81"/>
      <c r="AZ396" s="81"/>
      <c r="BA396" s="81"/>
      <c r="BB396" s="81"/>
      <c r="BC396" s="81"/>
      <c r="BD396" s="81"/>
    </row>
    <row r="397" ht="15.0" customHeight="1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  <c r="AB397" s="81"/>
      <c r="AC397" s="81"/>
      <c r="AD397" s="81"/>
      <c r="AE397" s="81"/>
      <c r="AF397" s="81"/>
      <c r="AG397" s="81"/>
      <c r="AH397" s="81"/>
      <c r="AI397" s="81"/>
      <c r="AJ397" s="81"/>
      <c r="AK397" s="81"/>
      <c r="AL397" s="81"/>
      <c r="AM397" s="81"/>
      <c r="AN397" s="81"/>
      <c r="AO397" s="81"/>
      <c r="AP397" s="81"/>
      <c r="AQ397" s="81"/>
      <c r="AR397" s="81"/>
      <c r="AS397" s="81"/>
      <c r="AT397" s="81"/>
      <c r="AU397" s="81"/>
      <c r="AV397" s="81"/>
      <c r="AW397" s="81"/>
      <c r="AX397" s="81"/>
      <c r="AY397" s="81"/>
      <c r="AZ397" s="81"/>
      <c r="BA397" s="81"/>
      <c r="BB397" s="81"/>
      <c r="BC397" s="81"/>
      <c r="BD397" s="81"/>
    </row>
    <row r="398" ht="15.0" customHeight="1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  <c r="AB398" s="81"/>
      <c r="AC398" s="81"/>
      <c r="AD398" s="81"/>
      <c r="AE398" s="81"/>
      <c r="AF398" s="81"/>
      <c r="AG398" s="81"/>
      <c r="AH398" s="81"/>
      <c r="AI398" s="81"/>
      <c r="AJ398" s="81"/>
      <c r="AK398" s="81"/>
      <c r="AL398" s="81"/>
      <c r="AM398" s="81"/>
      <c r="AN398" s="81"/>
      <c r="AO398" s="81"/>
      <c r="AP398" s="81"/>
      <c r="AQ398" s="81"/>
      <c r="AR398" s="81"/>
      <c r="AS398" s="81"/>
      <c r="AT398" s="81"/>
      <c r="AU398" s="81"/>
      <c r="AV398" s="81"/>
      <c r="AW398" s="81"/>
      <c r="AX398" s="81"/>
      <c r="AY398" s="81"/>
      <c r="AZ398" s="81"/>
      <c r="BA398" s="81"/>
      <c r="BB398" s="81"/>
      <c r="BC398" s="81"/>
      <c r="BD398" s="81"/>
    </row>
    <row r="399" ht="15.0" customHeight="1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1"/>
      <c r="AN399" s="81"/>
      <c r="AO399" s="81"/>
      <c r="AP399" s="81"/>
      <c r="AQ399" s="81"/>
      <c r="AR399" s="81"/>
      <c r="AS399" s="81"/>
      <c r="AT399" s="81"/>
      <c r="AU399" s="81"/>
      <c r="AV399" s="81"/>
      <c r="AW399" s="81"/>
      <c r="AX399" s="81"/>
      <c r="AY399" s="81"/>
      <c r="AZ399" s="81"/>
      <c r="BA399" s="81"/>
      <c r="BB399" s="81"/>
      <c r="BC399" s="81"/>
      <c r="BD399" s="81"/>
    </row>
    <row r="400" ht="15.0" customHeight="1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1"/>
      <c r="AC400" s="81"/>
      <c r="AD400" s="81"/>
      <c r="AE400" s="81"/>
      <c r="AF400" s="81"/>
      <c r="AG400" s="81"/>
      <c r="AH400" s="81"/>
      <c r="AI400" s="81"/>
      <c r="AJ400" s="81"/>
      <c r="AK400" s="81"/>
      <c r="AL400" s="81"/>
      <c r="AM400" s="81"/>
      <c r="AN400" s="81"/>
      <c r="AO400" s="81"/>
      <c r="AP400" s="81"/>
      <c r="AQ400" s="81"/>
      <c r="AR400" s="81"/>
      <c r="AS400" s="81"/>
      <c r="AT400" s="81"/>
      <c r="AU400" s="81"/>
      <c r="AV400" s="81"/>
      <c r="AW400" s="81"/>
      <c r="AX400" s="81"/>
      <c r="AY400" s="81"/>
      <c r="AZ400" s="81"/>
      <c r="BA400" s="81"/>
      <c r="BB400" s="81"/>
      <c r="BC400" s="81"/>
      <c r="BD400" s="81"/>
    </row>
    <row r="401" ht="15.0" customHeight="1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81"/>
      <c r="AO401" s="81"/>
      <c r="AP401" s="81"/>
      <c r="AQ401" s="81"/>
      <c r="AR401" s="81"/>
      <c r="AS401" s="81"/>
      <c r="AT401" s="81"/>
      <c r="AU401" s="81"/>
      <c r="AV401" s="81"/>
      <c r="AW401" s="81"/>
      <c r="AX401" s="81"/>
      <c r="AY401" s="81"/>
      <c r="AZ401" s="81"/>
      <c r="BA401" s="81"/>
      <c r="BB401" s="81"/>
      <c r="BC401" s="81"/>
      <c r="BD401" s="81"/>
    </row>
    <row r="402" ht="15.0" customHeight="1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1"/>
      <c r="AC402" s="81"/>
      <c r="AD402" s="81"/>
      <c r="AE402" s="81"/>
      <c r="AF402" s="81"/>
      <c r="AG402" s="81"/>
      <c r="AH402" s="81"/>
      <c r="AI402" s="81"/>
      <c r="AJ402" s="81"/>
      <c r="AK402" s="81"/>
      <c r="AL402" s="81"/>
      <c r="AM402" s="81"/>
      <c r="AN402" s="81"/>
      <c r="AO402" s="81"/>
      <c r="AP402" s="81"/>
      <c r="AQ402" s="81"/>
      <c r="AR402" s="81"/>
      <c r="AS402" s="81"/>
      <c r="AT402" s="81"/>
      <c r="AU402" s="81"/>
      <c r="AV402" s="81"/>
      <c r="AW402" s="81"/>
      <c r="AX402" s="81"/>
      <c r="AY402" s="81"/>
      <c r="AZ402" s="81"/>
      <c r="BA402" s="81"/>
      <c r="BB402" s="81"/>
      <c r="BC402" s="81"/>
      <c r="BD402" s="81"/>
    </row>
    <row r="403" ht="15.0" customHeight="1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1"/>
      <c r="AN403" s="81"/>
      <c r="AO403" s="81"/>
      <c r="AP403" s="81"/>
      <c r="AQ403" s="81"/>
      <c r="AR403" s="81"/>
      <c r="AS403" s="81"/>
      <c r="AT403" s="81"/>
      <c r="AU403" s="81"/>
      <c r="AV403" s="81"/>
      <c r="AW403" s="81"/>
      <c r="AX403" s="81"/>
      <c r="AY403" s="81"/>
      <c r="AZ403" s="81"/>
      <c r="BA403" s="81"/>
      <c r="BB403" s="81"/>
      <c r="BC403" s="81"/>
      <c r="BD403" s="81"/>
    </row>
    <row r="404" ht="15.0" customHeight="1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1"/>
      <c r="AN404" s="81"/>
      <c r="AO404" s="81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1"/>
    </row>
    <row r="405" ht="15.0" customHeight="1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1"/>
      <c r="AC405" s="81"/>
      <c r="AD405" s="81"/>
      <c r="AE405" s="81"/>
      <c r="AF405" s="81"/>
      <c r="AG405" s="81"/>
      <c r="AH405" s="81"/>
      <c r="AI405" s="81"/>
      <c r="AJ405" s="81"/>
      <c r="AK405" s="81"/>
      <c r="AL405" s="81"/>
      <c r="AM405" s="81"/>
      <c r="AN405" s="81"/>
      <c r="AO405" s="81"/>
      <c r="AP405" s="81"/>
      <c r="AQ405" s="81"/>
      <c r="AR405" s="81"/>
      <c r="AS405" s="81"/>
      <c r="AT405" s="81"/>
      <c r="AU405" s="81"/>
      <c r="AV405" s="81"/>
      <c r="AW405" s="81"/>
      <c r="AX405" s="81"/>
      <c r="AY405" s="81"/>
      <c r="AZ405" s="81"/>
      <c r="BA405" s="81"/>
      <c r="BB405" s="81"/>
      <c r="BC405" s="81"/>
      <c r="BD405" s="81"/>
    </row>
    <row r="406" ht="15.0" customHeight="1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1"/>
      <c r="AN406" s="81"/>
      <c r="AO406" s="81"/>
      <c r="AP406" s="81"/>
      <c r="AQ406" s="81"/>
      <c r="AR406" s="81"/>
      <c r="AS406" s="81"/>
      <c r="AT406" s="81"/>
      <c r="AU406" s="81"/>
      <c r="AV406" s="81"/>
      <c r="AW406" s="81"/>
      <c r="AX406" s="81"/>
      <c r="AY406" s="81"/>
      <c r="AZ406" s="81"/>
      <c r="BA406" s="81"/>
      <c r="BB406" s="81"/>
      <c r="BC406" s="81"/>
      <c r="BD406" s="81"/>
    </row>
    <row r="407" ht="15.0" customHeight="1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1"/>
      <c r="AC407" s="81"/>
      <c r="AD407" s="81"/>
      <c r="AE407" s="81"/>
      <c r="AF407" s="81"/>
      <c r="AG407" s="81"/>
      <c r="AH407" s="81"/>
      <c r="AI407" s="81"/>
      <c r="AJ407" s="81"/>
      <c r="AK407" s="81"/>
      <c r="AL407" s="81"/>
      <c r="AM407" s="81"/>
      <c r="AN407" s="81"/>
      <c r="AO407" s="81"/>
      <c r="AP407" s="81"/>
      <c r="AQ407" s="81"/>
      <c r="AR407" s="81"/>
      <c r="AS407" s="81"/>
      <c r="AT407" s="81"/>
      <c r="AU407" s="81"/>
      <c r="AV407" s="81"/>
      <c r="AW407" s="81"/>
      <c r="AX407" s="81"/>
      <c r="AY407" s="81"/>
      <c r="AZ407" s="81"/>
      <c r="BA407" s="81"/>
      <c r="BB407" s="81"/>
      <c r="BC407" s="81"/>
      <c r="BD407" s="81"/>
    </row>
    <row r="408" ht="15.0" customHeight="1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1"/>
      <c r="AC408" s="81"/>
      <c r="AD408" s="81"/>
      <c r="AE408" s="81"/>
      <c r="AF408" s="81"/>
      <c r="AG408" s="81"/>
      <c r="AH408" s="81"/>
      <c r="AI408" s="81"/>
      <c r="AJ408" s="81"/>
      <c r="AK408" s="81"/>
      <c r="AL408" s="81"/>
      <c r="AM408" s="81"/>
      <c r="AN408" s="81"/>
      <c r="AO408" s="81"/>
      <c r="AP408" s="81"/>
      <c r="AQ408" s="81"/>
      <c r="AR408" s="81"/>
      <c r="AS408" s="81"/>
      <c r="AT408" s="81"/>
      <c r="AU408" s="81"/>
      <c r="AV408" s="81"/>
      <c r="AW408" s="81"/>
      <c r="AX408" s="81"/>
      <c r="AY408" s="81"/>
      <c r="AZ408" s="81"/>
      <c r="BA408" s="81"/>
      <c r="BB408" s="81"/>
      <c r="BC408" s="81"/>
      <c r="BD408" s="81"/>
    </row>
    <row r="409" ht="15.0" customHeight="1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1"/>
      <c r="AC409" s="81"/>
      <c r="AD409" s="81"/>
      <c r="AE409" s="81"/>
      <c r="AF409" s="81"/>
      <c r="AG409" s="81"/>
      <c r="AH409" s="81"/>
      <c r="AI409" s="81"/>
      <c r="AJ409" s="81"/>
      <c r="AK409" s="81"/>
      <c r="AL409" s="81"/>
      <c r="AM409" s="81"/>
      <c r="AN409" s="81"/>
      <c r="AO409" s="81"/>
      <c r="AP409" s="81"/>
      <c r="AQ409" s="81"/>
      <c r="AR409" s="81"/>
      <c r="AS409" s="81"/>
      <c r="AT409" s="81"/>
      <c r="AU409" s="81"/>
      <c r="AV409" s="81"/>
      <c r="AW409" s="81"/>
      <c r="AX409" s="81"/>
      <c r="AY409" s="81"/>
      <c r="AZ409" s="81"/>
      <c r="BA409" s="81"/>
      <c r="BB409" s="81"/>
      <c r="BC409" s="81"/>
      <c r="BD409" s="81"/>
    </row>
    <row r="410" ht="15.0" customHeight="1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1"/>
      <c r="AC410" s="81"/>
      <c r="AD410" s="81"/>
      <c r="AE410" s="81"/>
      <c r="AF410" s="81"/>
      <c r="AG410" s="81"/>
      <c r="AH410" s="81"/>
      <c r="AI410" s="81"/>
      <c r="AJ410" s="81"/>
      <c r="AK410" s="81"/>
      <c r="AL410" s="81"/>
      <c r="AM410" s="81"/>
      <c r="AN410" s="81"/>
      <c r="AO410" s="81"/>
      <c r="AP410" s="81"/>
      <c r="AQ410" s="81"/>
      <c r="AR410" s="81"/>
      <c r="AS410" s="81"/>
      <c r="AT410" s="81"/>
      <c r="AU410" s="81"/>
      <c r="AV410" s="81"/>
      <c r="AW410" s="81"/>
      <c r="AX410" s="81"/>
      <c r="AY410" s="81"/>
      <c r="AZ410" s="81"/>
      <c r="BA410" s="81"/>
      <c r="BB410" s="81"/>
      <c r="BC410" s="81"/>
      <c r="BD410" s="81"/>
    </row>
    <row r="411" ht="15.0" customHeight="1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1"/>
      <c r="AC411" s="81"/>
      <c r="AD411" s="81"/>
      <c r="AE411" s="81"/>
      <c r="AF411" s="81"/>
      <c r="AG411" s="81"/>
      <c r="AH411" s="81"/>
      <c r="AI411" s="81"/>
      <c r="AJ411" s="81"/>
      <c r="AK411" s="81"/>
      <c r="AL411" s="81"/>
      <c r="AM411" s="81"/>
      <c r="AN411" s="81"/>
      <c r="AO411" s="81"/>
      <c r="AP411" s="81"/>
      <c r="AQ411" s="81"/>
      <c r="AR411" s="81"/>
      <c r="AS411" s="81"/>
      <c r="AT411" s="81"/>
      <c r="AU411" s="81"/>
      <c r="AV411" s="81"/>
      <c r="AW411" s="81"/>
      <c r="AX411" s="81"/>
      <c r="AY411" s="81"/>
      <c r="AZ411" s="81"/>
      <c r="BA411" s="81"/>
      <c r="BB411" s="81"/>
      <c r="BC411" s="81"/>
      <c r="BD411" s="81"/>
    </row>
    <row r="412" ht="15.0" customHeight="1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1"/>
      <c r="AN412" s="81"/>
      <c r="AO412" s="81"/>
      <c r="AP412" s="81"/>
      <c r="AQ412" s="81"/>
      <c r="AR412" s="81"/>
      <c r="AS412" s="81"/>
      <c r="AT412" s="81"/>
      <c r="AU412" s="81"/>
      <c r="AV412" s="81"/>
      <c r="AW412" s="81"/>
      <c r="AX412" s="81"/>
      <c r="AY412" s="81"/>
      <c r="AZ412" s="81"/>
      <c r="BA412" s="81"/>
      <c r="BB412" s="81"/>
      <c r="BC412" s="81"/>
      <c r="BD412" s="81"/>
    </row>
    <row r="413" ht="15.0" customHeight="1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1"/>
      <c r="AC413" s="81"/>
      <c r="AD413" s="81"/>
      <c r="AE413" s="81"/>
      <c r="AF413" s="81"/>
      <c r="AG413" s="81"/>
      <c r="AH413" s="81"/>
      <c r="AI413" s="81"/>
      <c r="AJ413" s="81"/>
      <c r="AK413" s="81"/>
      <c r="AL413" s="81"/>
      <c r="AM413" s="81"/>
      <c r="AN413" s="81"/>
      <c r="AO413" s="81"/>
      <c r="AP413" s="81"/>
      <c r="AQ413" s="81"/>
      <c r="AR413" s="81"/>
      <c r="AS413" s="81"/>
      <c r="AT413" s="81"/>
      <c r="AU413" s="81"/>
      <c r="AV413" s="81"/>
      <c r="AW413" s="81"/>
      <c r="AX413" s="81"/>
      <c r="AY413" s="81"/>
      <c r="AZ413" s="81"/>
      <c r="BA413" s="81"/>
      <c r="BB413" s="81"/>
      <c r="BC413" s="81"/>
      <c r="BD413" s="81"/>
    </row>
    <row r="414" ht="15.0" customHeight="1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1"/>
      <c r="AN414" s="81"/>
      <c r="AO414" s="81"/>
      <c r="AP414" s="81"/>
      <c r="AQ414" s="81"/>
      <c r="AR414" s="81"/>
      <c r="AS414" s="81"/>
      <c r="AT414" s="81"/>
      <c r="AU414" s="81"/>
      <c r="AV414" s="81"/>
      <c r="AW414" s="81"/>
      <c r="AX414" s="81"/>
      <c r="AY414" s="81"/>
      <c r="AZ414" s="81"/>
      <c r="BA414" s="81"/>
      <c r="BB414" s="81"/>
      <c r="BC414" s="81"/>
      <c r="BD414" s="81"/>
    </row>
    <row r="415" ht="15.0" customHeight="1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1"/>
      <c r="AC415" s="81"/>
      <c r="AD415" s="81"/>
      <c r="AE415" s="81"/>
      <c r="AF415" s="81"/>
      <c r="AG415" s="81"/>
      <c r="AH415" s="81"/>
      <c r="AI415" s="81"/>
      <c r="AJ415" s="81"/>
      <c r="AK415" s="81"/>
      <c r="AL415" s="81"/>
      <c r="AM415" s="81"/>
      <c r="AN415" s="81"/>
      <c r="AO415" s="81"/>
      <c r="AP415" s="81"/>
      <c r="AQ415" s="81"/>
      <c r="AR415" s="81"/>
      <c r="AS415" s="81"/>
      <c r="AT415" s="81"/>
      <c r="AU415" s="81"/>
      <c r="AV415" s="81"/>
      <c r="AW415" s="81"/>
      <c r="AX415" s="81"/>
      <c r="AY415" s="81"/>
      <c r="AZ415" s="81"/>
      <c r="BA415" s="81"/>
      <c r="BB415" s="81"/>
      <c r="BC415" s="81"/>
      <c r="BD415" s="81"/>
    </row>
    <row r="416" ht="15.0" customHeight="1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  <c r="AC416" s="81"/>
      <c r="AD416" s="81"/>
      <c r="AE416" s="81"/>
      <c r="AF416" s="81"/>
      <c r="AG416" s="81"/>
      <c r="AH416" s="81"/>
      <c r="AI416" s="81"/>
      <c r="AJ416" s="81"/>
      <c r="AK416" s="81"/>
      <c r="AL416" s="81"/>
      <c r="AM416" s="81"/>
      <c r="AN416" s="81"/>
      <c r="AO416" s="81"/>
      <c r="AP416" s="81"/>
      <c r="AQ416" s="81"/>
      <c r="AR416" s="81"/>
      <c r="AS416" s="81"/>
      <c r="AT416" s="81"/>
      <c r="AU416" s="81"/>
      <c r="AV416" s="81"/>
      <c r="AW416" s="81"/>
      <c r="AX416" s="81"/>
      <c r="AY416" s="81"/>
      <c r="AZ416" s="81"/>
      <c r="BA416" s="81"/>
      <c r="BB416" s="81"/>
      <c r="BC416" s="81"/>
      <c r="BD416" s="81"/>
    </row>
    <row r="417" ht="15.0" customHeight="1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1"/>
      <c r="AC417" s="81"/>
      <c r="AD417" s="81"/>
      <c r="AE417" s="81"/>
      <c r="AF417" s="81"/>
      <c r="AG417" s="81"/>
      <c r="AH417" s="81"/>
      <c r="AI417" s="81"/>
      <c r="AJ417" s="81"/>
      <c r="AK417" s="81"/>
      <c r="AL417" s="81"/>
      <c r="AM417" s="81"/>
      <c r="AN417" s="81"/>
      <c r="AO417" s="81"/>
      <c r="AP417" s="81"/>
      <c r="AQ417" s="81"/>
      <c r="AR417" s="81"/>
      <c r="AS417" s="81"/>
      <c r="AT417" s="81"/>
      <c r="AU417" s="81"/>
      <c r="AV417" s="81"/>
      <c r="AW417" s="81"/>
      <c r="AX417" s="81"/>
      <c r="AY417" s="81"/>
      <c r="AZ417" s="81"/>
      <c r="BA417" s="81"/>
      <c r="BB417" s="81"/>
      <c r="BC417" s="81"/>
      <c r="BD417" s="81"/>
    </row>
    <row r="418" ht="15.0" customHeight="1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1"/>
      <c r="AC418" s="81"/>
      <c r="AD418" s="81"/>
      <c r="AE418" s="81"/>
      <c r="AF418" s="81"/>
      <c r="AG418" s="81"/>
      <c r="AH418" s="81"/>
      <c r="AI418" s="81"/>
      <c r="AJ418" s="81"/>
      <c r="AK418" s="81"/>
      <c r="AL418" s="81"/>
      <c r="AM418" s="81"/>
      <c r="AN418" s="81"/>
      <c r="AO418" s="81"/>
      <c r="AP418" s="81"/>
      <c r="AQ418" s="81"/>
      <c r="AR418" s="81"/>
      <c r="AS418" s="81"/>
      <c r="AT418" s="81"/>
      <c r="AU418" s="81"/>
      <c r="AV418" s="81"/>
      <c r="AW418" s="81"/>
      <c r="AX418" s="81"/>
      <c r="AY418" s="81"/>
      <c r="AZ418" s="81"/>
      <c r="BA418" s="81"/>
      <c r="BB418" s="81"/>
      <c r="BC418" s="81"/>
      <c r="BD418" s="81"/>
    </row>
    <row r="419" ht="15.0" customHeight="1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  <c r="AB419" s="81"/>
      <c r="AC419" s="81"/>
      <c r="AD419" s="81"/>
      <c r="AE419" s="81"/>
      <c r="AF419" s="81"/>
      <c r="AG419" s="81"/>
      <c r="AH419" s="81"/>
      <c r="AI419" s="81"/>
      <c r="AJ419" s="81"/>
      <c r="AK419" s="81"/>
      <c r="AL419" s="81"/>
      <c r="AM419" s="81"/>
      <c r="AN419" s="81"/>
      <c r="AO419" s="81"/>
      <c r="AP419" s="81"/>
      <c r="AQ419" s="81"/>
      <c r="AR419" s="81"/>
      <c r="AS419" s="81"/>
      <c r="AT419" s="81"/>
      <c r="AU419" s="81"/>
      <c r="AV419" s="81"/>
      <c r="AW419" s="81"/>
      <c r="AX419" s="81"/>
      <c r="AY419" s="81"/>
      <c r="AZ419" s="81"/>
      <c r="BA419" s="81"/>
      <c r="BB419" s="81"/>
      <c r="BC419" s="81"/>
      <c r="BD419" s="81"/>
    </row>
    <row r="420" ht="15.0" customHeight="1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  <c r="AB420" s="81"/>
      <c r="AC420" s="81"/>
      <c r="AD420" s="81"/>
      <c r="AE420" s="81"/>
      <c r="AF420" s="81"/>
      <c r="AG420" s="81"/>
      <c r="AH420" s="81"/>
      <c r="AI420" s="81"/>
      <c r="AJ420" s="81"/>
      <c r="AK420" s="81"/>
      <c r="AL420" s="81"/>
      <c r="AM420" s="81"/>
      <c r="AN420" s="81"/>
      <c r="AO420" s="81"/>
      <c r="AP420" s="81"/>
      <c r="AQ420" s="81"/>
      <c r="AR420" s="81"/>
      <c r="AS420" s="81"/>
      <c r="AT420" s="81"/>
      <c r="AU420" s="81"/>
      <c r="AV420" s="81"/>
      <c r="AW420" s="81"/>
      <c r="AX420" s="81"/>
      <c r="AY420" s="81"/>
      <c r="AZ420" s="81"/>
      <c r="BA420" s="81"/>
      <c r="BB420" s="81"/>
      <c r="BC420" s="81"/>
      <c r="BD420" s="81"/>
    </row>
    <row r="421" ht="15.0" customHeight="1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  <c r="AB421" s="81"/>
      <c r="AC421" s="81"/>
      <c r="AD421" s="81"/>
      <c r="AE421" s="81"/>
      <c r="AF421" s="81"/>
      <c r="AG421" s="81"/>
      <c r="AH421" s="81"/>
      <c r="AI421" s="81"/>
      <c r="AJ421" s="81"/>
      <c r="AK421" s="81"/>
      <c r="AL421" s="81"/>
      <c r="AM421" s="81"/>
      <c r="AN421" s="81"/>
      <c r="AO421" s="81"/>
      <c r="AP421" s="81"/>
      <c r="AQ421" s="81"/>
      <c r="AR421" s="81"/>
      <c r="AS421" s="81"/>
      <c r="AT421" s="81"/>
      <c r="AU421" s="81"/>
      <c r="AV421" s="81"/>
      <c r="AW421" s="81"/>
      <c r="AX421" s="81"/>
      <c r="AY421" s="81"/>
      <c r="AZ421" s="81"/>
      <c r="BA421" s="81"/>
      <c r="BB421" s="81"/>
      <c r="BC421" s="81"/>
      <c r="BD421" s="81"/>
    </row>
    <row r="422" ht="15.0" customHeight="1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  <c r="AB422" s="81"/>
      <c r="AC422" s="81"/>
      <c r="AD422" s="81"/>
      <c r="AE422" s="81"/>
      <c r="AF422" s="81"/>
      <c r="AG422" s="81"/>
      <c r="AH422" s="81"/>
      <c r="AI422" s="81"/>
      <c r="AJ422" s="81"/>
      <c r="AK422" s="81"/>
      <c r="AL422" s="81"/>
      <c r="AM422" s="81"/>
      <c r="AN422" s="81"/>
      <c r="AO422" s="81"/>
      <c r="AP422" s="81"/>
      <c r="AQ422" s="81"/>
      <c r="AR422" s="81"/>
      <c r="AS422" s="81"/>
      <c r="AT422" s="81"/>
      <c r="AU422" s="81"/>
      <c r="AV422" s="81"/>
      <c r="AW422" s="81"/>
      <c r="AX422" s="81"/>
      <c r="AY422" s="81"/>
      <c r="AZ422" s="81"/>
      <c r="BA422" s="81"/>
      <c r="BB422" s="81"/>
      <c r="BC422" s="81"/>
      <c r="BD422" s="81"/>
    </row>
    <row r="423" ht="15.0" customHeight="1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  <c r="AB423" s="81"/>
      <c r="AC423" s="81"/>
      <c r="AD423" s="81"/>
      <c r="AE423" s="81"/>
      <c r="AF423" s="81"/>
      <c r="AG423" s="81"/>
      <c r="AH423" s="81"/>
      <c r="AI423" s="81"/>
      <c r="AJ423" s="81"/>
      <c r="AK423" s="81"/>
      <c r="AL423" s="81"/>
      <c r="AM423" s="81"/>
      <c r="AN423" s="81"/>
      <c r="AO423" s="81"/>
      <c r="AP423" s="81"/>
      <c r="AQ423" s="81"/>
      <c r="AR423" s="81"/>
      <c r="AS423" s="81"/>
      <c r="AT423" s="81"/>
      <c r="AU423" s="81"/>
      <c r="AV423" s="81"/>
      <c r="AW423" s="81"/>
      <c r="AX423" s="81"/>
      <c r="AY423" s="81"/>
      <c r="AZ423" s="81"/>
      <c r="BA423" s="81"/>
      <c r="BB423" s="81"/>
      <c r="BC423" s="81"/>
      <c r="BD423" s="81"/>
    </row>
    <row r="424" ht="15.0" customHeight="1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1"/>
      <c r="AC424" s="81"/>
      <c r="AD424" s="81"/>
      <c r="AE424" s="81"/>
      <c r="AF424" s="81"/>
      <c r="AG424" s="81"/>
      <c r="AH424" s="81"/>
      <c r="AI424" s="81"/>
      <c r="AJ424" s="81"/>
      <c r="AK424" s="81"/>
      <c r="AL424" s="81"/>
      <c r="AM424" s="81"/>
      <c r="AN424" s="81"/>
      <c r="AO424" s="81"/>
      <c r="AP424" s="81"/>
      <c r="AQ424" s="81"/>
      <c r="AR424" s="81"/>
      <c r="AS424" s="81"/>
      <c r="AT424" s="81"/>
      <c r="AU424" s="81"/>
      <c r="AV424" s="81"/>
      <c r="AW424" s="81"/>
      <c r="AX424" s="81"/>
      <c r="AY424" s="81"/>
      <c r="AZ424" s="81"/>
      <c r="BA424" s="81"/>
      <c r="BB424" s="81"/>
      <c r="BC424" s="81"/>
      <c r="BD424" s="81"/>
    </row>
    <row r="425" ht="15.0" customHeight="1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1"/>
      <c r="AC425" s="81"/>
      <c r="AD425" s="81"/>
      <c r="AE425" s="81"/>
      <c r="AF425" s="81"/>
      <c r="AG425" s="81"/>
      <c r="AH425" s="81"/>
      <c r="AI425" s="81"/>
      <c r="AJ425" s="81"/>
      <c r="AK425" s="81"/>
      <c r="AL425" s="81"/>
      <c r="AM425" s="81"/>
      <c r="AN425" s="81"/>
      <c r="AO425" s="81"/>
      <c r="AP425" s="81"/>
      <c r="AQ425" s="81"/>
      <c r="AR425" s="81"/>
      <c r="AS425" s="81"/>
      <c r="AT425" s="81"/>
      <c r="AU425" s="81"/>
      <c r="AV425" s="81"/>
      <c r="AW425" s="81"/>
      <c r="AX425" s="81"/>
      <c r="AY425" s="81"/>
      <c r="AZ425" s="81"/>
      <c r="BA425" s="81"/>
      <c r="BB425" s="81"/>
      <c r="BC425" s="81"/>
      <c r="BD425" s="81"/>
    </row>
    <row r="426" ht="15.0" customHeight="1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1"/>
      <c r="AC426" s="81"/>
      <c r="AD426" s="81"/>
      <c r="AE426" s="81"/>
      <c r="AF426" s="81"/>
      <c r="AG426" s="81"/>
      <c r="AH426" s="81"/>
      <c r="AI426" s="81"/>
      <c r="AJ426" s="81"/>
      <c r="AK426" s="81"/>
      <c r="AL426" s="81"/>
      <c r="AM426" s="81"/>
      <c r="AN426" s="81"/>
      <c r="AO426" s="81"/>
      <c r="AP426" s="81"/>
      <c r="AQ426" s="81"/>
      <c r="AR426" s="81"/>
      <c r="AS426" s="81"/>
      <c r="AT426" s="81"/>
      <c r="AU426" s="81"/>
      <c r="AV426" s="81"/>
      <c r="AW426" s="81"/>
      <c r="AX426" s="81"/>
      <c r="AY426" s="81"/>
      <c r="AZ426" s="81"/>
      <c r="BA426" s="81"/>
      <c r="BB426" s="81"/>
      <c r="BC426" s="81"/>
      <c r="BD426" s="81"/>
    </row>
    <row r="427" ht="15.0" customHeight="1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1"/>
      <c r="AC427" s="81"/>
      <c r="AD427" s="81"/>
      <c r="AE427" s="81"/>
      <c r="AF427" s="81"/>
      <c r="AG427" s="81"/>
      <c r="AH427" s="81"/>
      <c r="AI427" s="81"/>
      <c r="AJ427" s="81"/>
      <c r="AK427" s="81"/>
      <c r="AL427" s="81"/>
      <c r="AM427" s="81"/>
      <c r="AN427" s="81"/>
      <c r="AO427" s="81"/>
      <c r="AP427" s="81"/>
      <c r="AQ427" s="81"/>
      <c r="AR427" s="81"/>
      <c r="AS427" s="81"/>
      <c r="AT427" s="81"/>
      <c r="AU427" s="81"/>
      <c r="AV427" s="81"/>
      <c r="AW427" s="81"/>
      <c r="AX427" s="81"/>
      <c r="AY427" s="81"/>
      <c r="AZ427" s="81"/>
      <c r="BA427" s="81"/>
      <c r="BB427" s="81"/>
      <c r="BC427" s="81"/>
      <c r="BD427" s="81"/>
    </row>
    <row r="428" ht="15.0" customHeight="1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1"/>
      <c r="AC428" s="81"/>
      <c r="AD428" s="81"/>
      <c r="AE428" s="81"/>
      <c r="AF428" s="81"/>
      <c r="AG428" s="81"/>
      <c r="AH428" s="81"/>
      <c r="AI428" s="81"/>
      <c r="AJ428" s="81"/>
      <c r="AK428" s="81"/>
      <c r="AL428" s="81"/>
      <c r="AM428" s="81"/>
      <c r="AN428" s="81"/>
      <c r="AO428" s="81"/>
      <c r="AP428" s="81"/>
      <c r="AQ428" s="81"/>
      <c r="AR428" s="81"/>
      <c r="AS428" s="81"/>
      <c r="AT428" s="81"/>
      <c r="AU428" s="81"/>
      <c r="AV428" s="81"/>
      <c r="AW428" s="81"/>
      <c r="AX428" s="81"/>
      <c r="AY428" s="81"/>
      <c r="AZ428" s="81"/>
      <c r="BA428" s="81"/>
      <c r="BB428" s="81"/>
      <c r="BC428" s="81"/>
      <c r="BD428" s="81"/>
    </row>
    <row r="429" ht="15.0" customHeight="1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1"/>
      <c r="AC429" s="81"/>
      <c r="AD429" s="81"/>
      <c r="AE429" s="81"/>
      <c r="AF429" s="81"/>
      <c r="AG429" s="81"/>
      <c r="AH429" s="81"/>
      <c r="AI429" s="81"/>
      <c r="AJ429" s="81"/>
      <c r="AK429" s="81"/>
      <c r="AL429" s="81"/>
      <c r="AM429" s="81"/>
      <c r="AN429" s="81"/>
      <c r="AO429" s="81"/>
      <c r="AP429" s="81"/>
      <c r="AQ429" s="81"/>
      <c r="AR429" s="81"/>
      <c r="AS429" s="81"/>
      <c r="AT429" s="81"/>
      <c r="AU429" s="81"/>
      <c r="AV429" s="81"/>
      <c r="AW429" s="81"/>
      <c r="AX429" s="81"/>
      <c r="AY429" s="81"/>
      <c r="AZ429" s="81"/>
      <c r="BA429" s="81"/>
      <c r="BB429" s="81"/>
      <c r="BC429" s="81"/>
      <c r="BD429" s="81"/>
    </row>
    <row r="430" ht="15.0" customHeight="1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1"/>
      <c r="AC430" s="81"/>
      <c r="AD430" s="81"/>
      <c r="AE430" s="81"/>
      <c r="AF430" s="81"/>
      <c r="AG430" s="81"/>
      <c r="AH430" s="81"/>
      <c r="AI430" s="81"/>
      <c r="AJ430" s="81"/>
      <c r="AK430" s="81"/>
      <c r="AL430" s="81"/>
      <c r="AM430" s="81"/>
      <c r="AN430" s="81"/>
      <c r="AO430" s="81"/>
      <c r="AP430" s="81"/>
      <c r="AQ430" s="81"/>
      <c r="AR430" s="81"/>
      <c r="AS430" s="81"/>
      <c r="AT430" s="81"/>
      <c r="AU430" s="81"/>
      <c r="AV430" s="81"/>
      <c r="AW430" s="81"/>
      <c r="AX430" s="81"/>
      <c r="AY430" s="81"/>
      <c r="AZ430" s="81"/>
      <c r="BA430" s="81"/>
      <c r="BB430" s="81"/>
      <c r="BC430" s="81"/>
      <c r="BD430" s="81"/>
    </row>
    <row r="431" ht="15.0" customHeight="1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1"/>
      <c r="AC431" s="81"/>
      <c r="AD431" s="81"/>
      <c r="AE431" s="81"/>
      <c r="AF431" s="81"/>
      <c r="AG431" s="81"/>
      <c r="AH431" s="81"/>
      <c r="AI431" s="81"/>
      <c r="AJ431" s="81"/>
      <c r="AK431" s="81"/>
      <c r="AL431" s="81"/>
      <c r="AM431" s="81"/>
      <c r="AN431" s="81"/>
      <c r="AO431" s="81"/>
      <c r="AP431" s="81"/>
      <c r="AQ431" s="81"/>
      <c r="AR431" s="81"/>
      <c r="AS431" s="81"/>
      <c r="AT431" s="81"/>
      <c r="AU431" s="81"/>
      <c r="AV431" s="81"/>
      <c r="AW431" s="81"/>
      <c r="AX431" s="81"/>
      <c r="AY431" s="81"/>
      <c r="AZ431" s="81"/>
      <c r="BA431" s="81"/>
      <c r="BB431" s="81"/>
      <c r="BC431" s="81"/>
      <c r="BD431" s="81"/>
    </row>
    <row r="432" ht="15.0" customHeight="1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1"/>
      <c r="AC432" s="81"/>
      <c r="AD432" s="81"/>
      <c r="AE432" s="81"/>
      <c r="AF432" s="81"/>
      <c r="AG432" s="81"/>
      <c r="AH432" s="81"/>
      <c r="AI432" s="81"/>
      <c r="AJ432" s="81"/>
      <c r="AK432" s="81"/>
      <c r="AL432" s="81"/>
      <c r="AM432" s="81"/>
      <c r="AN432" s="81"/>
      <c r="AO432" s="81"/>
      <c r="AP432" s="81"/>
      <c r="AQ432" s="81"/>
      <c r="AR432" s="81"/>
      <c r="AS432" s="81"/>
      <c r="AT432" s="81"/>
      <c r="AU432" s="81"/>
      <c r="AV432" s="81"/>
      <c r="AW432" s="81"/>
      <c r="AX432" s="81"/>
      <c r="AY432" s="81"/>
      <c r="AZ432" s="81"/>
      <c r="BA432" s="81"/>
      <c r="BB432" s="81"/>
      <c r="BC432" s="81"/>
      <c r="BD432" s="81"/>
    </row>
    <row r="433" ht="15.0" customHeight="1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  <c r="AB433" s="81"/>
      <c r="AC433" s="81"/>
      <c r="AD433" s="81"/>
      <c r="AE433" s="81"/>
      <c r="AF433" s="81"/>
      <c r="AG433" s="81"/>
      <c r="AH433" s="81"/>
      <c r="AI433" s="81"/>
      <c r="AJ433" s="81"/>
      <c r="AK433" s="81"/>
      <c r="AL433" s="81"/>
      <c r="AM433" s="81"/>
      <c r="AN433" s="81"/>
      <c r="AO433" s="81"/>
      <c r="AP433" s="81"/>
      <c r="AQ433" s="81"/>
      <c r="AR433" s="81"/>
      <c r="AS433" s="81"/>
      <c r="AT433" s="81"/>
      <c r="AU433" s="81"/>
      <c r="AV433" s="81"/>
      <c r="AW433" s="81"/>
      <c r="AX433" s="81"/>
      <c r="AY433" s="81"/>
      <c r="AZ433" s="81"/>
      <c r="BA433" s="81"/>
      <c r="BB433" s="81"/>
      <c r="BC433" s="81"/>
      <c r="BD433" s="81"/>
    </row>
    <row r="434" ht="15.0" customHeight="1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  <c r="AB434" s="81"/>
      <c r="AC434" s="81"/>
      <c r="AD434" s="81"/>
      <c r="AE434" s="81"/>
      <c r="AF434" s="81"/>
      <c r="AG434" s="81"/>
      <c r="AH434" s="81"/>
      <c r="AI434" s="81"/>
      <c r="AJ434" s="81"/>
      <c r="AK434" s="81"/>
      <c r="AL434" s="81"/>
      <c r="AM434" s="81"/>
      <c r="AN434" s="81"/>
      <c r="AO434" s="81"/>
      <c r="AP434" s="81"/>
      <c r="AQ434" s="81"/>
      <c r="AR434" s="81"/>
      <c r="AS434" s="81"/>
      <c r="AT434" s="81"/>
      <c r="AU434" s="81"/>
      <c r="AV434" s="81"/>
      <c r="AW434" s="81"/>
      <c r="AX434" s="81"/>
      <c r="AY434" s="81"/>
      <c r="AZ434" s="81"/>
      <c r="BA434" s="81"/>
      <c r="BB434" s="81"/>
      <c r="BC434" s="81"/>
      <c r="BD434" s="81"/>
    </row>
    <row r="435" ht="15.0" customHeight="1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  <c r="AB435" s="81"/>
      <c r="AC435" s="81"/>
      <c r="AD435" s="81"/>
      <c r="AE435" s="81"/>
      <c r="AF435" s="81"/>
      <c r="AG435" s="81"/>
      <c r="AH435" s="81"/>
      <c r="AI435" s="81"/>
      <c r="AJ435" s="81"/>
      <c r="AK435" s="81"/>
      <c r="AL435" s="81"/>
      <c r="AM435" s="81"/>
      <c r="AN435" s="81"/>
      <c r="AO435" s="81"/>
      <c r="AP435" s="81"/>
      <c r="AQ435" s="81"/>
      <c r="AR435" s="81"/>
      <c r="AS435" s="81"/>
      <c r="AT435" s="81"/>
      <c r="AU435" s="81"/>
      <c r="AV435" s="81"/>
      <c r="AW435" s="81"/>
      <c r="AX435" s="81"/>
      <c r="AY435" s="81"/>
      <c r="AZ435" s="81"/>
      <c r="BA435" s="81"/>
      <c r="BB435" s="81"/>
      <c r="BC435" s="81"/>
      <c r="BD435" s="81"/>
    </row>
    <row r="436" ht="15.0" customHeight="1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  <c r="AB436" s="81"/>
      <c r="AC436" s="81"/>
      <c r="AD436" s="81"/>
      <c r="AE436" s="81"/>
      <c r="AF436" s="81"/>
      <c r="AG436" s="81"/>
      <c r="AH436" s="81"/>
      <c r="AI436" s="81"/>
      <c r="AJ436" s="81"/>
      <c r="AK436" s="81"/>
      <c r="AL436" s="81"/>
      <c r="AM436" s="81"/>
      <c r="AN436" s="81"/>
      <c r="AO436" s="81"/>
      <c r="AP436" s="81"/>
      <c r="AQ436" s="81"/>
      <c r="AR436" s="81"/>
      <c r="AS436" s="81"/>
      <c r="AT436" s="81"/>
      <c r="AU436" s="81"/>
      <c r="AV436" s="81"/>
      <c r="AW436" s="81"/>
      <c r="AX436" s="81"/>
      <c r="AY436" s="81"/>
      <c r="AZ436" s="81"/>
      <c r="BA436" s="81"/>
      <c r="BB436" s="81"/>
      <c r="BC436" s="81"/>
      <c r="BD436" s="81"/>
    </row>
    <row r="437" ht="15.0" customHeight="1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  <c r="AB437" s="81"/>
      <c r="AC437" s="81"/>
      <c r="AD437" s="81"/>
      <c r="AE437" s="81"/>
      <c r="AF437" s="81"/>
      <c r="AG437" s="81"/>
      <c r="AH437" s="81"/>
      <c r="AI437" s="81"/>
      <c r="AJ437" s="81"/>
      <c r="AK437" s="81"/>
      <c r="AL437" s="81"/>
      <c r="AM437" s="81"/>
      <c r="AN437" s="81"/>
      <c r="AO437" s="81"/>
      <c r="AP437" s="81"/>
      <c r="AQ437" s="81"/>
      <c r="AR437" s="81"/>
      <c r="AS437" s="81"/>
      <c r="AT437" s="81"/>
      <c r="AU437" s="81"/>
      <c r="AV437" s="81"/>
      <c r="AW437" s="81"/>
      <c r="AX437" s="81"/>
      <c r="AY437" s="81"/>
      <c r="AZ437" s="81"/>
      <c r="BA437" s="81"/>
      <c r="BB437" s="81"/>
      <c r="BC437" s="81"/>
      <c r="BD437" s="81"/>
    </row>
    <row r="438" ht="15.0" customHeight="1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1"/>
      <c r="AC438" s="81"/>
      <c r="AD438" s="81"/>
      <c r="AE438" s="81"/>
      <c r="AF438" s="81"/>
      <c r="AG438" s="81"/>
      <c r="AH438" s="81"/>
      <c r="AI438" s="81"/>
      <c r="AJ438" s="81"/>
      <c r="AK438" s="81"/>
      <c r="AL438" s="81"/>
      <c r="AM438" s="81"/>
      <c r="AN438" s="81"/>
      <c r="AO438" s="81"/>
      <c r="AP438" s="81"/>
      <c r="AQ438" s="81"/>
      <c r="AR438" s="81"/>
      <c r="AS438" s="81"/>
      <c r="AT438" s="81"/>
      <c r="AU438" s="81"/>
      <c r="AV438" s="81"/>
      <c r="AW438" s="81"/>
      <c r="AX438" s="81"/>
      <c r="AY438" s="81"/>
      <c r="AZ438" s="81"/>
      <c r="BA438" s="81"/>
      <c r="BB438" s="81"/>
      <c r="BC438" s="81"/>
      <c r="BD438" s="81"/>
    </row>
    <row r="439" ht="15.0" customHeight="1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1"/>
      <c r="AC439" s="81"/>
      <c r="AD439" s="81"/>
      <c r="AE439" s="81"/>
      <c r="AF439" s="81"/>
      <c r="AG439" s="81"/>
      <c r="AH439" s="81"/>
      <c r="AI439" s="81"/>
      <c r="AJ439" s="81"/>
      <c r="AK439" s="81"/>
      <c r="AL439" s="81"/>
      <c r="AM439" s="81"/>
      <c r="AN439" s="81"/>
      <c r="AO439" s="81"/>
      <c r="AP439" s="81"/>
      <c r="AQ439" s="81"/>
      <c r="AR439" s="81"/>
      <c r="AS439" s="81"/>
      <c r="AT439" s="81"/>
      <c r="AU439" s="81"/>
      <c r="AV439" s="81"/>
      <c r="AW439" s="81"/>
      <c r="AX439" s="81"/>
      <c r="AY439" s="81"/>
      <c r="AZ439" s="81"/>
      <c r="BA439" s="81"/>
      <c r="BB439" s="81"/>
      <c r="BC439" s="81"/>
      <c r="BD439" s="81"/>
    </row>
    <row r="440" ht="15.0" customHeight="1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1"/>
      <c r="AC440" s="81"/>
      <c r="AD440" s="81"/>
      <c r="AE440" s="81"/>
      <c r="AF440" s="81"/>
      <c r="AG440" s="81"/>
      <c r="AH440" s="81"/>
      <c r="AI440" s="81"/>
      <c r="AJ440" s="81"/>
      <c r="AK440" s="81"/>
      <c r="AL440" s="81"/>
      <c r="AM440" s="81"/>
      <c r="AN440" s="81"/>
      <c r="AO440" s="81"/>
      <c r="AP440" s="81"/>
      <c r="AQ440" s="81"/>
      <c r="AR440" s="81"/>
      <c r="AS440" s="81"/>
      <c r="AT440" s="81"/>
      <c r="AU440" s="81"/>
      <c r="AV440" s="81"/>
      <c r="AW440" s="81"/>
      <c r="AX440" s="81"/>
      <c r="AY440" s="81"/>
      <c r="AZ440" s="81"/>
      <c r="BA440" s="81"/>
      <c r="BB440" s="81"/>
      <c r="BC440" s="81"/>
      <c r="BD440" s="81"/>
    </row>
    <row r="441" ht="15.0" customHeight="1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1"/>
      <c r="AC441" s="81"/>
      <c r="AD441" s="81"/>
      <c r="AE441" s="81"/>
      <c r="AF441" s="81"/>
      <c r="AG441" s="81"/>
      <c r="AH441" s="81"/>
      <c r="AI441" s="81"/>
      <c r="AJ441" s="81"/>
      <c r="AK441" s="81"/>
      <c r="AL441" s="81"/>
      <c r="AM441" s="81"/>
      <c r="AN441" s="81"/>
      <c r="AO441" s="81"/>
      <c r="AP441" s="81"/>
      <c r="AQ441" s="81"/>
      <c r="AR441" s="81"/>
      <c r="AS441" s="81"/>
      <c r="AT441" s="81"/>
      <c r="AU441" s="81"/>
      <c r="AV441" s="81"/>
      <c r="AW441" s="81"/>
      <c r="AX441" s="81"/>
      <c r="AY441" s="81"/>
      <c r="AZ441" s="81"/>
      <c r="BA441" s="81"/>
      <c r="BB441" s="81"/>
      <c r="BC441" s="81"/>
      <c r="BD441" s="81"/>
    </row>
    <row r="442" ht="15.0" customHeight="1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1"/>
      <c r="AC442" s="81"/>
      <c r="AD442" s="81"/>
      <c r="AE442" s="81"/>
      <c r="AF442" s="81"/>
      <c r="AG442" s="81"/>
      <c r="AH442" s="81"/>
      <c r="AI442" s="81"/>
      <c r="AJ442" s="81"/>
      <c r="AK442" s="81"/>
      <c r="AL442" s="81"/>
      <c r="AM442" s="81"/>
      <c r="AN442" s="81"/>
      <c r="AO442" s="81"/>
      <c r="AP442" s="81"/>
      <c r="AQ442" s="81"/>
      <c r="AR442" s="81"/>
      <c r="AS442" s="81"/>
      <c r="AT442" s="81"/>
      <c r="AU442" s="81"/>
      <c r="AV442" s="81"/>
      <c r="AW442" s="81"/>
      <c r="AX442" s="81"/>
      <c r="AY442" s="81"/>
      <c r="AZ442" s="81"/>
      <c r="BA442" s="81"/>
      <c r="BB442" s="81"/>
      <c r="BC442" s="81"/>
      <c r="BD442" s="81"/>
    </row>
    <row r="443" ht="15.0" customHeight="1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1"/>
      <c r="AC443" s="81"/>
      <c r="AD443" s="81"/>
      <c r="AE443" s="81"/>
      <c r="AF443" s="81"/>
      <c r="AG443" s="81"/>
      <c r="AH443" s="81"/>
      <c r="AI443" s="81"/>
      <c r="AJ443" s="81"/>
      <c r="AK443" s="81"/>
      <c r="AL443" s="81"/>
      <c r="AM443" s="81"/>
      <c r="AN443" s="81"/>
      <c r="AO443" s="81"/>
      <c r="AP443" s="81"/>
      <c r="AQ443" s="81"/>
      <c r="AR443" s="81"/>
      <c r="AS443" s="81"/>
      <c r="AT443" s="81"/>
      <c r="AU443" s="81"/>
      <c r="AV443" s="81"/>
      <c r="AW443" s="81"/>
      <c r="AX443" s="81"/>
      <c r="AY443" s="81"/>
      <c r="AZ443" s="81"/>
      <c r="BA443" s="81"/>
      <c r="BB443" s="81"/>
      <c r="BC443" s="81"/>
      <c r="BD443" s="81"/>
    </row>
    <row r="444" ht="15.0" customHeight="1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1"/>
      <c r="AC444" s="81"/>
      <c r="AD444" s="81"/>
      <c r="AE444" s="81"/>
      <c r="AF444" s="81"/>
      <c r="AG444" s="81"/>
      <c r="AH444" s="81"/>
      <c r="AI444" s="81"/>
      <c r="AJ444" s="81"/>
      <c r="AK444" s="81"/>
      <c r="AL444" s="81"/>
      <c r="AM444" s="81"/>
      <c r="AN444" s="81"/>
      <c r="AO444" s="81"/>
      <c r="AP444" s="81"/>
      <c r="AQ444" s="81"/>
      <c r="AR444" s="81"/>
      <c r="AS444" s="81"/>
      <c r="AT444" s="81"/>
      <c r="AU444" s="81"/>
      <c r="AV444" s="81"/>
      <c r="AW444" s="81"/>
      <c r="AX444" s="81"/>
      <c r="AY444" s="81"/>
      <c r="AZ444" s="81"/>
      <c r="BA444" s="81"/>
      <c r="BB444" s="81"/>
      <c r="BC444" s="81"/>
      <c r="BD444" s="81"/>
    </row>
    <row r="445" ht="15.0" customHeight="1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1"/>
      <c r="AC445" s="81"/>
      <c r="AD445" s="81"/>
      <c r="AE445" s="81"/>
      <c r="AF445" s="81"/>
      <c r="AG445" s="81"/>
      <c r="AH445" s="81"/>
      <c r="AI445" s="81"/>
      <c r="AJ445" s="81"/>
      <c r="AK445" s="81"/>
      <c r="AL445" s="81"/>
      <c r="AM445" s="81"/>
      <c r="AN445" s="81"/>
      <c r="AO445" s="81"/>
      <c r="AP445" s="81"/>
      <c r="AQ445" s="81"/>
      <c r="AR445" s="81"/>
      <c r="AS445" s="81"/>
      <c r="AT445" s="81"/>
      <c r="AU445" s="81"/>
      <c r="AV445" s="81"/>
      <c r="AW445" s="81"/>
      <c r="AX445" s="81"/>
      <c r="AY445" s="81"/>
      <c r="AZ445" s="81"/>
      <c r="BA445" s="81"/>
      <c r="BB445" s="81"/>
      <c r="BC445" s="81"/>
      <c r="BD445" s="81"/>
    </row>
    <row r="446" ht="15.0" customHeight="1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1"/>
      <c r="AC446" s="81"/>
      <c r="AD446" s="81"/>
      <c r="AE446" s="81"/>
      <c r="AF446" s="81"/>
      <c r="AG446" s="81"/>
      <c r="AH446" s="81"/>
      <c r="AI446" s="81"/>
      <c r="AJ446" s="81"/>
      <c r="AK446" s="81"/>
      <c r="AL446" s="81"/>
      <c r="AM446" s="81"/>
      <c r="AN446" s="81"/>
      <c r="AO446" s="81"/>
      <c r="AP446" s="81"/>
      <c r="AQ446" s="81"/>
      <c r="AR446" s="81"/>
      <c r="AS446" s="81"/>
      <c r="AT446" s="81"/>
      <c r="AU446" s="81"/>
      <c r="AV446" s="81"/>
      <c r="AW446" s="81"/>
      <c r="AX446" s="81"/>
      <c r="AY446" s="81"/>
      <c r="AZ446" s="81"/>
      <c r="BA446" s="81"/>
      <c r="BB446" s="81"/>
      <c r="BC446" s="81"/>
      <c r="BD446" s="81"/>
    </row>
    <row r="447" ht="15.0" customHeight="1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1"/>
      <c r="AC447" s="81"/>
      <c r="AD447" s="81"/>
      <c r="AE447" s="81"/>
      <c r="AF447" s="81"/>
      <c r="AG447" s="81"/>
      <c r="AH447" s="81"/>
      <c r="AI447" s="81"/>
      <c r="AJ447" s="81"/>
      <c r="AK447" s="81"/>
      <c r="AL447" s="81"/>
      <c r="AM447" s="81"/>
      <c r="AN447" s="81"/>
      <c r="AO447" s="81"/>
      <c r="AP447" s="81"/>
      <c r="AQ447" s="81"/>
      <c r="AR447" s="81"/>
      <c r="AS447" s="81"/>
      <c r="AT447" s="81"/>
      <c r="AU447" s="81"/>
      <c r="AV447" s="81"/>
      <c r="AW447" s="81"/>
      <c r="AX447" s="81"/>
      <c r="AY447" s="81"/>
      <c r="AZ447" s="81"/>
      <c r="BA447" s="81"/>
      <c r="BB447" s="81"/>
      <c r="BC447" s="81"/>
      <c r="BD447" s="81"/>
    </row>
    <row r="448" ht="15.0" customHeight="1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1"/>
      <c r="AC448" s="81"/>
      <c r="AD448" s="81"/>
      <c r="AE448" s="81"/>
      <c r="AF448" s="81"/>
      <c r="AG448" s="81"/>
      <c r="AH448" s="81"/>
      <c r="AI448" s="81"/>
      <c r="AJ448" s="81"/>
      <c r="AK448" s="81"/>
      <c r="AL448" s="81"/>
      <c r="AM448" s="81"/>
      <c r="AN448" s="81"/>
      <c r="AO448" s="81"/>
      <c r="AP448" s="81"/>
      <c r="AQ448" s="81"/>
      <c r="AR448" s="81"/>
      <c r="AS448" s="81"/>
      <c r="AT448" s="81"/>
      <c r="AU448" s="81"/>
      <c r="AV448" s="81"/>
      <c r="AW448" s="81"/>
      <c r="AX448" s="81"/>
      <c r="AY448" s="81"/>
      <c r="AZ448" s="81"/>
      <c r="BA448" s="81"/>
      <c r="BB448" s="81"/>
      <c r="BC448" s="81"/>
      <c r="BD448" s="81"/>
    </row>
    <row r="449" ht="15.0" customHeight="1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1"/>
      <c r="AC449" s="81"/>
      <c r="AD449" s="81"/>
      <c r="AE449" s="81"/>
      <c r="AF449" s="81"/>
      <c r="AG449" s="81"/>
      <c r="AH449" s="81"/>
      <c r="AI449" s="81"/>
      <c r="AJ449" s="81"/>
      <c r="AK449" s="81"/>
      <c r="AL449" s="81"/>
      <c r="AM449" s="81"/>
      <c r="AN449" s="81"/>
      <c r="AO449" s="81"/>
      <c r="AP449" s="81"/>
      <c r="AQ449" s="81"/>
      <c r="AR449" s="81"/>
      <c r="AS449" s="81"/>
      <c r="AT449" s="81"/>
      <c r="AU449" s="81"/>
      <c r="AV449" s="81"/>
      <c r="AW449" s="81"/>
      <c r="AX449" s="81"/>
      <c r="AY449" s="81"/>
      <c r="AZ449" s="81"/>
      <c r="BA449" s="81"/>
      <c r="BB449" s="81"/>
      <c r="BC449" s="81"/>
      <c r="BD449" s="81"/>
    </row>
    <row r="450" ht="15.0" customHeight="1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1"/>
      <c r="AN450" s="81"/>
      <c r="AO450" s="81"/>
      <c r="AP450" s="81"/>
      <c r="AQ450" s="81"/>
      <c r="AR450" s="81"/>
      <c r="AS450" s="81"/>
      <c r="AT450" s="81"/>
      <c r="AU450" s="81"/>
      <c r="AV450" s="81"/>
      <c r="AW450" s="81"/>
      <c r="AX450" s="81"/>
      <c r="AY450" s="81"/>
      <c r="AZ450" s="81"/>
      <c r="BA450" s="81"/>
      <c r="BB450" s="81"/>
      <c r="BC450" s="81"/>
      <c r="BD450" s="81"/>
    </row>
    <row r="451" ht="15.0" customHeight="1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1"/>
      <c r="AC451" s="81"/>
      <c r="AD451" s="81"/>
      <c r="AE451" s="81"/>
      <c r="AF451" s="81"/>
      <c r="AG451" s="81"/>
      <c r="AH451" s="81"/>
      <c r="AI451" s="81"/>
      <c r="AJ451" s="81"/>
      <c r="AK451" s="81"/>
      <c r="AL451" s="81"/>
      <c r="AM451" s="81"/>
      <c r="AN451" s="81"/>
      <c r="AO451" s="81"/>
      <c r="AP451" s="81"/>
      <c r="AQ451" s="81"/>
      <c r="AR451" s="81"/>
      <c r="AS451" s="81"/>
      <c r="AT451" s="81"/>
      <c r="AU451" s="81"/>
      <c r="AV451" s="81"/>
      <c r="AW451" s="81"/>
      <c r="AX451" s="81"/>
      <c r="AY451" s="81"/>
      <c r="AZ451" s="81"/>
      <c r="BA451" s="81"/>
      <c r="BB451" s="81"/>
      <c r="BC451" s="81"/>
      <c r="BD451" s="81"/>
    </row>
    <row r="452" ht="15.0" customHeight="1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1"/>
      <c r="AN452" s="81"/>
      <c r="AO452" s="81"/>
      <c r="AP452" s="81"/>
      <c r="AQ452" s="81"/>
      <c r="AR452" s="81"/>
      <c r="AS452" s="81"/>
      <c r="AT452" s="81"/>
      <c r="AU452" s="81"/>
      <c r="AV452" s="81"/>
      <c r="AW452" s="81"/>
      <c r="AX452" s="81"/>
      <c r="AY452" s="81"/>
      <c r="AZ452" s="81"/>
      <c r="BA452" s="81"/>
      <c r="BB452" s="81"/>
      <c r="BC452" s="81"/>
      <c r="BD452" s="81"/>
    </row>
    <row r="453" ht="15.0" customHeight="1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1"/>
      <c r="AC453" s="81"/>
      <c r="AD453" s="81"/>
      <c r="AE453" s="81"/>
      <c r="AF453" s="81"/>
      <c r="AG453" s="81"/>
      <c r="AH453" s="81"/>
      <c r="AI453" s="81"/>
      <c r="AJ453" s="81"/>
      <c r="AK453" s="81"/>
      <c r="AL453" s="81"/>
      <c r="AM453" s="81"/>
      <c r="AN453" s="81"/>
      <c r="AO453" s="81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1"/>
    </row>
    <row r="454" ht="15.0" customHeight="1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1"/>
      <c r="AC454" s="81"/>
      <c r="AD454" s="81"/>
      <c r="AE454" s="81"/>
      <c r="AF454" s="81"/>
      <c r="AG454" s="81"/>
      <c r="AH454" s="81"/>
      <c r="AI454" s="81"/>
      <c r="AJ454" s="81"/>
      <c r="AK454" s="81"/>
      <c r="AL454" s="81"/>
      <c r="AM454" s="81"/>
      <c r="AN454" s="81"/>
      <c r="AO454" s="81"/>
      <c r="AP454" s="81"/>
      <c r="AQ454" s="81"/>
      <c r="AR454" s="81"/>
      <c r="AS454" s="81"/>
      <c r="AT454" s="81"/>
      <c r="AU454" s="81"/>
      <c r="AV454" s="81"/>
      <c r="AW454" s="81"/>
      <c r="AX454" s="81"/>
      <c r="AY454" s="81"/>
      <c r="AZ454" s="81"/>
      <c r="BA454" s="81"/>
      <c r="BB454" s="81"/>
      <c r="BC454" s="81"/>
      <c r="BD454" s="81"/>
    </row>
    <row r="455" ht="15.0" customHeight="1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1"/>
      <c r="AC455" s="81"/>
      <c r="AD455" s="81"/>
      <c r="AE455" s="81"/>
      <c r="AF455" s="81"/>
      <c r="AG455" s="81"/>
      <c r="AH455" s="81"/>
      <c r="AI455" s="81"/>
      <c r="AJ455" s="81"/>
      <c r="AK455" s="81"/>
      <c r="AL455" s="81"/>
      <c r="AM455" s="81"/>
      <c r="AN455" s="81"/>
      <c r="AO455" s="81"/>
      <c r="AP455" s="81"/>
      <c r="AQ455" s="81"/>
      <c r="AR455" s="81"/>
      <c r="AS455" s="81"/>
      <c r="AT455" s="81"/>
      <c r="AU455" s="81"/>
      <c r="AV455" s="81"/>
      <c r="AW455" s="81"/>
      <c r="AX455" s="81"/>
      <c r="AY455" s="81"/>
      <c r="AZ455" s="81"/>
      <c r="BA455" s="81"/>
      <c r="BB455" s="81"/>
      <c r="BC455" s="81"/>
      <c r="BD455" s="81"/>
    </row>
    <row r="456" ht="15.0" customHeight="1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1"/>
      <c r="AC456" s="81"/>
      <c r="AD456" s="81"/>
      <c r="AE456" s="81"/>
      <c r="AF456" s="81"/>
      <c r="AG456" s="81"/>
      <c r="AH456" s="81"/>
      <c r="AI456" s="81"/>
      <c r="AJ456" s="81"/>
      <c r="AK456" s="81"/>
      <c r="AL456" s="81"/>
      <c r="AM456" s="81"/>
      <c r="AN456" s="81"/>
      <c r="AO456" s="81"/>
      <c r="AP456" s="81"/>
      <c r="AQ456" s="81"/>
      <c r="AR456" s="81"/>
      <c r="AS456" s="81"/>
      <c r="AT456" s="81"/>
      <c r="AU456" s="81"/>
      <c r="AV456" s="81"/>
      <c r="AW456" s="81"/>
      <c r="AX456" s="81"/>
      <c r="AY456" s="81"/>
      <c r="AZ456" s="81"/>
      <c r="BA456" s="81"/>
      <c r="BB456" s="81"/>
      <c r="BC456" s="81"/>
      <c r="BD456" s="81"/>
    </row>
    <row r="457" ht="15.0" customHeight="1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1"/>
      <c r="AC457" s="81"/>
      <c r="AD457" s="81"/>
      <c r="AE457" s="81"/>
      <c r="AF457" s="81"/>
      <c r="AG457" s="81"/>
      <c r="AH457" s="81"/>
      <c r="AI457" s="81"/>
      <c r="AJ457" s="81"/>
      <c r="AK457" s="81"/>
      <c r="AL457" s="81"/>
      <c r="AM457" s="81"/>
      <c r="AN457" s="81"/>
      <c r="AO457" s="81"/>
      <c r="AP457" s="81"/>
      <c r="AQ457" s="81"/>
      <c r="AR457" s="81"/>
      <c r="AS457" s="81"/>
      <c r="AT457" s="81"/>
      <c r="AU457" s="81"/>
      <c r="AV457" s="81"/>
      <c r="AW457" s="81"/>
      <c r="AX457" s="81"/>
      <c r="AY457" s="81"/>
      <c r="AZ457" s="81"/>
      <c r="BA457" s="81"/>
      <c r="BB457" s="81"/>
      <c r="BC457" s="81"/>
      <c r="BD457" s="81"/>
    </row>
    <row r="458" ht="15.0" customHeight="1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  <c r="AB458" s="81"/>
      <c r="AC458" s="81"/>
      <c r="AD458" s="81"/>
      <c r="AE458" s="81"/>
      <c r="AF458" s="81"/>
      <c r="AG458" s="81"/>
      <c r="AH458" s="81"/>
      <c r="AI458" s="81"/>
      <c r="AJ458" s="81"/>
      <c r="AK458" s="81"/>
      <c r="AL458" s="81"/>
      <c r="AM458" s="81"/>
      <c r="AN458" s="81"/>
      <c r="AO458" s="81"/>
      <c r="AP458" s="81"/>
      <c r="AQ458" s="81"/>
      <c r="AR458" s="81"/>
      <c r="AS458" s="81"/>
      <c r="AT458" s="81"/>
      <c r="AU458" s="81"/>
      <c r="AV458" s="81"/>
      <c r="AW458" s="81"/>
      <c r="AX458" s="81"/>
      <c r="AY458" s="81"/>
      <c r="AZ458" s="81"/>
      <c r="BA458" s="81"/>
      <c r="BB458" s="81"/>
      <c r="BC458" s="81"/>
      <c r="BD458" s="81"/>
    </row>
    <row r="459" ht="15.0" customHeight="1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  <c r="AB459" s="81"/>
      <c r="AC459" s="81"/>
      <c r="AD459" s="81"/>
      <c r="AE459" s="81"/>
      <c r="AF459" s="81"/>
      <c r="AG459" s="81"/>
      <c r="AH459" s="81"/>
      <c r="AI459" s="81"/>
      <c r="AJ459" s="81"/>
      <c r="AK459" s="81"/>
      <c r="AL459" s="81"/>
      <c r="AM459" s="81"/>
      <c r="AN459" s="81"/>
      <c r="AO459" s="81"/>
      <c r="AP459" s="81"/>
      <c r="AQ459" s="81"/>
      <c r="AR459" s="81"/>
      <c r="AS459" s="81"/>
      <c r="AT459" s="81"/>
      <c r="AU459" s="81"/>
      <c r="AV459" s="81"/>
      <c r="AW459" s="81"/>
      <c r="AX459" s="81"/>
      <c r="AY459" s="81"/>
      <c r="AZ459" s="81"/>
      <c r="BA459" s="81"/>
      <c r="BB459" s="81"/>
      <c r="BC459" s="81"/>
      <c r="BD459" s="81"/>
    </row>
    <row r="460" ht="15.0" customHeight="1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  <c r="AB460" s="81"/>
      <c r="AC460" s="81"/>
      <c r="AD460" s="81"/>
      <c r="AE460" s="81"/>
      <c r="AF460" s="81"/>
      <c r="AG460" s="81"/>
      <c r="AH460" s="81"/>
      <c r="AI460" s="81"/>
      <c r="AJ460" s="81"/>
      <c r="AK460" s="81"/>
      <c r="AL460" s="81"/>
      <c r="AM460" s="81"/>
      <c r="AN460" s="81"/>
      <c r="AO460" s="81"/>
      <c r="AP460" s="81"/>
      <c r="AQ460" s="81"/>
      <c r="AR460" s="81"/>
      <c r="AS460" s="81"/>
      <c r="AT460" s="81"/>
      <c r="AU460" s="81"/>
      <c r="AV460" s="81"/>
      <c r="AW460" s="81"/>
      <c r="AX460" s="81"/>
      <c r="AY460" s="81"/>
      <c r="AZ460" s="81"/>
      <c r="BA460" s="81"/>
      <c r="BB460" s="81"/>
      <c r="BC460" s="81"/>
      <c r="BD460" s="81"/>
    </row>
    <row r="461" ht="15.0" customHeight="1">
      <c r="A461" s="81"/>
      <c r="B461" s="81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  <c r="AA461" s="81"/>
      <c r="AB461" s="81"/>
      <c r="AC461" s="81"/>
      <c r="AD461" s="81"/>
      <c r="AE461" s="81"/>
      <c r="AF461" s="81"/>
      <c r="AG461" s="81"/>
      <c r="AH461" s="81"/>
      <c r="AI461" s="81"/>
      <c r="AJ461" s="81"/>
      <c r="AK461" s="81"/>
      <c r="AL461" s="81"/>
      <c r="AM461" s="81"/>
      <c r="AN461" s="81"/>
      <c r="AO461" s="81"/>
      <c r="AP461" s="81"/>
      <c r="AQ461" s="81"/>
      <c r="AR461" s="81"/>
      <c r="AS461" s="81"/>
      <c r="AT461" s="81"/>
      <c r="AU461" s="81"/>
      <c r="AV461" s="81"/>
      <c r="AW461" s="81"/>
      <c r="AX461" s="81"/>
      <c r="AY461" s="81"/>
      <c r="AZ461" s="81"/>
      <c r="BA461" s="81"/>
      <c r="BB461" s="81"/>
      <c r="BC461" s="81"/>
      <c r="BD461" s="81"/>
    </row>
    <row r="462" ht="15.0" customHeight="1">
      <c r="A462" s="81"/>
      <c r="B462" s="81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  <c r="AA462" s="81"/>
      <c r="AB462" s="81"/>
      <c r="AC462" s="81"/>
      <c r="AD462" s="81"/>
      <c r="AE462" s="81"/>
      <c r="AF462" s="81"/>
      <c r="AG462" s="81"/>
      <c r="AH462" s="81"/>
      <c r="AI462" s="81"/>
      <c r="AJ462" s="81"/>
      <c r="AK462" s="81"/>
      <c r="AL462" s="81"/>
      <c r="AM462" s="81"/>
      <c r="AN462" s="81"/>
      <c r="AO462" s="81"/>
      <c r="AP462" s="81"/>
      <c r="AQ462" s="81"/>
      <c r="AR462" s="81"/>
      <c r="AS462" s="81"/>
      <c r="AT462" s="81"/>
      <c r="AU462" s="81"/>
      <c r="AV462" s="81"/>
      <c r="AW462" s="81"/>
      <c r="AX462" s="81"/>
      <c r="AY462" s="81"/>
      <c r="AZ462" s="81"/>
      <c r="BA462" s="81"/>
      <c r="BB462" s="81"/>
      <c r="BC462" s="81"/>
      <c r="BD462" s="81"/>
    </row>
    <row r="463" ht="15.0" customHeight="1">
      <c r="A463" s="81"/>
      <c r="B463" s="81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  <c r="AA463" s="81"/>
      <c r="AB463" s="81"/>
      <c r="AC463" s="81"/>
      <c r="AD463" s="81"/>
      <c r="AE463" s="81"/>
      <c r="AF463" s="81"/>
      <c r="AG463" s="81"/>
      <c r="AH463" s="81"/>
      <c r="AI463" s="81"/>
      <c r="AJ463" s="81"/>
      <c r="AK463" s="81"/>
      <c r="AL463" s="81"/>
      <c r="AM463" s="81"/>
      <c r="AN463" s="81"/>
      <c r="AO463" s="81"/>
      <c r="AP463" s="81"/>
      <c r="AQ463" s="81"/>
      <c r="AR463" s="81"/>
      <c r="AS463" s="81"/>
      <c r="AT463" s="81"/>
      <c r="AU463" s="81"/>
      <c r="AV463" s="81"/>
      <c r="AW463" s="81"/>
      <c r="AX463" s="81"/>
      <c r="AY463" s="81"/>
      <c r="AZ463" s="81"/>
      <c r="BA463" s="81"/>
      <c r="BB463" s="81"/>
      <c r="BC463" s="81"/>
      <c r="BD463" s="81"/>
    </row>
    <row r="464" ht="15.0" customHeight="1">
      <c r="A464" s="81"/>
      <c r="B464" s="81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  <c r="AA464" s="81"/>
      <c r="AB464" s="81"/>
      <c r="AC464" s="81"/>
      <c r="AD464" s="81"/>
      <c r="AE464" s="81"/>
      <c r="AF464" s="81"/>
      <c r="AG464" s="81"/>
      <c r="AH464" s="81"/>
      <c r="AI464" s="81"/>
      <c r="AJ464" s="81"/>
      <c r="AK464" s="81"/>
      <c r="AL464" s="81"/>
      <c r="AM464" s="81"/>
      <c r="AN464" s="81"/>
      <c r="AO464" s="81"/>
      <c r="AP464" s="81"/>
      <c r="AQ464" s="81"/>
      <c r="AR464" s="81"/>
      <c r="AS464" s="81"/>
      <c r="AT464" s="81"/>
      <c r="AU464" s="81"/>
      <c r="AV464" s="81"/>
      <c r="AW464" s="81"/>
      <c r="AX464" s="81"/>
      <c r="AY464" s="81"/>
      <c r="AZ464" s="81"/>
      <c r="BA464" s="81"/>
      <c r="BB464" s="81"/>
      <c r="BC464" s="81"/>
      <c r="BD464" s="81"/>
    </row>
    <row r="465" ht="15.0" customHeight="1">
      <c r="A465" s="81"/>
      <c r="B465" s="81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  <c r="AA465" s="81"/>
      <c r="AB465" s="81"/>
      <c r="AC465" s="81"/>
      <c r="AD465" s="81"/>
      <c r="AE465" s="81"/>
      <c r="AF465" s="81"/>
      <c r="AG465" s="81"/>
      <c r="AH465" s="81"/>
      <c r="AI465" s="81"/>
      <c r="AJ465" s="81"/>
      <c r="AK465" s="81"/>
      <c r="AL465" s="81"/>
      <c r="AM465" s="81"/>
      <c r="AN465" s="81"/>
      <c r="AO465" s="81"/>
      <c r="AP465" s="81"/>
      <c r="AQ465" s="81"/>
      <c r="AR465" s="81"/>
      <c r="AS465" s="81"/>
      <c r="AT465" s="81"/>
      <c r="AU465" s="81"/>
      <c r="AV465" s="81"/>
      <c r="AW465" s="81"/>
      <c r="AX465" s="81"/>
      <c r="AY465" s="81"/>
      <c r="AZ465" s="81"/>
      <c r="BA465" s="81"/>
      <c r="BB465" s="81"/>
      <c r="BC465" s="81"/>
      <c r="BD465" s="81"/>
    </row>
    <row r="466" ht="15.0" customHeight="1">
      <c r="A466" s="81"/>
      <c r="B466" s="81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  <c r="AA466" s="81"/>
      <c r="AB466" s="81"/>
      <c r="AC466" s="81"/>
      <c r="AD466" s="81"/>
      <c r="AE466" s="81"/>
      <c r="AF466" s="81"/>
      <c r="AG466" s="81"/>
      <c r="AH466" s="81"/>
      <c r="AI466" s="81"/>
      <c r="AJ466" s="81"/>
      <c r="AK466" s="81"/>
      <c r="AL466" s="81"/>
      <c r="AM466" s="81"/>
      <c r="AN466" s="81"/>
      <c r="AO466" s="81"/>
      <c r="AP466" s="81"/>
      <c r="AQ466" s="81"/>
      <c r="AR466" s="81"/>
      <c r="AS466" s="81"/>
      <c r="AT466" s="81"/>
      <c r="AU466" s="81"/>
      <c r="AV466" s="81"/>
      <c r="AW466" s="81"/>
      <c r="AX466" s="81"/>
      <c r="AY466" s="81"/>
      <c r="AZ466" s="81"/>
      <c r="BA466" s="81"/>
      <c r="BB466" s="81"/>
      <c r="BC466" s="81"/>
      <c r="BD466" s="81"/>
    </row>
    <row r="467" ht="15.0" customHeight="1">
      <c r="A467" s="81"/>
      <c r="B467" s="81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  <c r="AA467" s="81"/>
      <c r="AB467" s="81"/>
      <c r="AC467" s="81"/>
      <c r="AD467" s="81"/>
      <c r="AE467" s="81"/>
      <c r="AF467" s="81"/>
      <c r="AG467" s="81"/>
      <c r="AH467" s="81"/>
      <c r="AI467" s="81"/>
      <c r="AJ467" s="81"/>
      <c r="AK467" s="81"/>
      <c r="AL467" s="81"/>
      <c r="AM467" s="81"/>
      <c r="AN467" s="81"/>
      <c r="AO467" s="81"/>
      <c r="AP467" s="81"/>
      <c r="AQ467" s="81"/>
      <c r="AR467" s="81"/>
      <c r="AS467" s="81"/>
      <c r="AT467" s="81"/>
      <c r="AU467" s="81"/>
      <c r="AV467" s="81"/>
      <c r="AW467" s="81"/>
      <c r="AX467" s="81"/>
      <c r="AY467" s="81"/>
      <c r="AZ467" s="81"/>
      <c r="BA467" s="81"/>
      <c r="BB467" s="81"/>
      <c r="BC467" s="81"/>
      <c r="BD467" s="81"/>
    </row>
    <row r="468" ht="15.0" customHeight="1">
      <c r="A468" s="81"/>
      <c r="B468" s="81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  <c r="AA468" s="81"/>
      <c r="AB468" s="81"/>
      <c r="AC468" s="81"/>
      <c r="AD468" s="81"/>
      <c r="AE468" s="81"/>
      <c r="AF468" s="81"/>
      <c r="AG468" s="81"/>
      <c r="AH468" s="81"/>
      <c r="AI468" s="81"/>
      <c r="AJ468" s="81"/>
      <c r="AK468" s="81"/>
      <c r="AL468" s="81"/>
      <c r="AM468" s="81"/>
      <c r="AN468" s="81"/>
      <c r="AO468" s="81"/>
      <c r="AP468" s="81"/>
      <c r="AQ468" s="81"/>
      <c r="AR468" s="81"/>
      <c r="AS468" s="81"/>
      <c r="AT468" s="81"/>
      <c r="AU468" s="81"/>
      <c r="AV468" s="81"/>
      <c r="AW468" s="81"/>
      <c r="AX468" s="81"/>
      <c r="AY468" s="81"/>
      <c r="AZ468" s="81"/>
      <c r="BA468" s="81"/>
      <c r="BB468" s="81"/>
      <c r="BC468" s="81"/>
      <c r="BD468" s="81"/>
    </row>
    <row r="469" ht="15.0" customHeight="1">
      <c r="A469" s="81"/>
      <c r="B469" s="81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  <c r="AA469" s="81"/>
      <c r="AB469" s="81"/>
      <c r="AC469" s="81"/>
      <c r="AD469" s="81"/>
      <c r="AE469" s="81"/>
      <c r="AF469" s="81"/>
      <c r="AG469" s="81"/>
      <c r="AH469" s="81"/>
      <c r="AI469" s="81"/>
      <c r="AJ469" s="81"/>
      <c r="AK469" s="81"/>
      <c r="AL469" s="81"/>
      <c r="AM469" s="81"/>
      <c r="AN469" s="81"/>
      <c r="AO469" s="81"/>
      <c r="AP469" s="81"/>
      <c r="AQ469" s="81"/>
      <c r="AR469" s="81"/>
      <c r="AS469" s="81"/>
      <c r="AT469" s="81"/>
      <c r="AU469" s="81"/>
      <c r="AV469" s="81"/>
      <c r="AW469" s="81"/>
      <c r="AX469" s="81"/>
      <c r="AY469" s="81"/>
      <c r="AZ469" s="81"/>
      <c r="BA469" s="81"/>
      <c r="BB469" s="81"/>
      <c r="BC469" s="81"/>
      <c r="BD469" s="81"/>
    </row>
    <row r="470" ht="15.0" customHeight="1">
      <c r="A470" s="81"/>
      <c r="B470" s="81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  <c r="AA470" s="81"/>
      <c r="AB470" s="81"/>
      <c r="AC470" s="81"/>
      <c r="AD470" s="81"/>
      <c r="AE470" s="81"/>
      <c r="AF470" s="81"/>
      <c r="AG470" s="81"/>
      <c r="AH470" s="81"/>
      <c r="AI470" s="81"/>
      <c r="AJ470" s="81"/>
      <c r="AK470" s="81"/>
      <c r="AL470" s="81"/>
      <c r="AM470" s="81"/>
      <c r="AN470" s="81"/>
      <c r="AO470" s="81"/>
      <c r="AP470" s="81"/>
      <c r="AQ470" s="81"/>
      <c r="AR470" s="81"/>
      <c r="AS470" s="81"/>
      <c r="AT470" s="81"/>
      <c r="AU470" s="81"/>
      <c r="AV470" s="81"/>
      <c r="AW470" s="81"/>
      <c r="AX470" s="81"/>
      <c r="AY470" s="81"/>
      <c r="AZ470" s="81"/>
      <c r="BA470" s="81"/>
      <c r="BB470" s="81"/>
      <c r="BC470" s="81"/>
      <c r="BD470" s="81"/>
    </row>
    <row r="471" ht="15.0" customHeight="1">
      <c r="A471" s="81"/>
      <c r="B471" s="81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  <c r="AA471" s="81"/>
      <c r="AB471" s="81"/>
      <c r="AC471" s="81"/>
      <c r="AD471" s="81"/>
      <c r="AE471" s="81"/>
      <c r="AF471" s="81"/>
      <c r="AG471" s="81"/>
      <c r="AH471" s="81"/>
      <c r="AI471" s="81"/>
      <c r="AJ471" s="81"/>
      <c r="AK471" s="81"/>
      <c r="AL471" s="81"/>
      <c r="AM471" s="81"/>
      <c r="AN471" s="81"/>
      <c r="AO471" s="81"/>
      <c r="AP471" s="81"/>
      <c r="AQ471" s="81"/>
      <c r="AR471" s="81"/>
      <c r="AS471" s="81"/>
      <c r="AT471" s="81"/>
      <c r="AU471" s="81"/>
      <c r="AV471" s="81"/>
      <c r="AW471" s="81"/>
      <c r="AX471" s="81"/>
      <c r="AY471" s="81"/>
      <c r="AZ471" s="81"/>
      <c r="BA471" s="81"/>
      <c r="BB471" s="81"/>
      <c r="BC471" s="81"/>
      <c r="BD471" s="81"/>
    </row>
    <row r="472" ht="15.0" customHeight="1">
      <c r="A472" s="81"/>
      <c r="B472" s="81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  <c r="AA472" s="81"/>
      <c r="AB472" s="81"/>
      <c r="AC472" s="81"/>
      <c r="AD472" s="81"/>
      <c r="AE472" s="81"/>
      <c r="AF472" s="81"/>
      <c r="AG472" s="81"/>
      <c r="AH472" s="81"/>
      <c r="AI472" s="81"/>
      <c r="AJ472" s="81"/>
      <c r="AK472" s="81"/>
      <c r="AL472" s="81"/>
      <c r="AM472" s="81"/>
      <c r="AN472" s="81"/>
      <c r="AO472" s="81"/>
      <c r="AP472" s="81"/>
      <c r="AQ472" s="81"/>
      <c r="AR472" s="81"/>
      <c r="AS472" s="81"/>
      <c r="AT472" s="81"/>
      <c r="AU472" s="81"/>
      <c r="AV472" s="81"/>
      <c r="AW472" s="81"/>
      <c r="AX472" s="81"/>
      <c r="AY472" s="81"/>
      <c r="AZ472" s="81"/>
      <c r="BA472" s="81"/>
      <c r="BB472" s="81"/>
      <c r="BC472" s="81"/>
      <c r="BD472" s="81"/>
    </row>
    <row r="473" ht="15.0" customHeight="1">
      <c r="A473" s="81"/>
      <c r="B473" s="81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  <c r="AA473" s="81"/>
      <c r="AB473" s="81"/>
      <c r="AC473" s="81"/>
      <c r="AD473" s="81"/>
      <c r="AE473" s="81"/>
      <c r="AF473" s="81"/>
      <c r="AG473" s="81"/>
      <c r="AH473" s="81"/>
      <c r="AI473" s="81"/>
      <c r="AJ473" s="81"/>
      <c r="AK473" s="81"/>
      <c r="AL473" s="81"/>
      <c r="AM473" s="81"/>
      <c r="AN473" s="81"/>
      <c r="AO473" s="81"/>
      <c r="AP473" s="81"/>
      <c r="AQ473" s="81"/>
      <c r="AR473" s="81"/>
      <c r="AS473" s="81"/>
      <c r="AT473" s="81"/>
      <c r="AU473" s="81"/>
      <c r="AV473" s="81"/>
      <c r="AW473" s="81"/>
      <c r="AX473" s="81"/>
      <c r="AY473" s="81"/>
      <c r="AZ473" s="81"/>
      <c r="BA473" s="81"/>
      <c r="BB473" s="81"/>
      <c r="BC473" s="81"/>
      <c r="BD473" s="81"/>
    </row>
    <row r="474" ht="15.0" customHeight="1">
      <c r="A474" s="81"/>
      <c r="B474" s="81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  <c r="AA474" s="81"/>
      <c r="AB474" s="81"/>
      <c r="AC474" s="81"/>
      <c r="AD474" s="81"/>
      <c r="AE474" s="81"/>
      <c r="AF474" s="81"/>
      <c r="AG474" s="81"/>
      <c r="AH474" s="81"/>
      <c r="AI474" s="81"/>
      <c r="AJ474" s="81"/>
      <c r="AK474" s="81"/>
      <c r="AL474" s="81"/>
      <c r="AM474" s="81"/>
      <c r="AN474" s="81"/>
      <c r="AO474" s="81"/>
      <c r="AP474" s="81"/>
      <c r="AQ474" s="81"/>
      <c r="AR474" s="81"/>
      <c r="AS474" s="81"/>
      <c r="AT474" s="81"/>
      <c r="AU474" s="81"/>
      <c r="AV474" s="81"/>
      <c r="AW474" s="81"/>
      <c r="AX474" s="81"/>
      <c r="AY474" s="81"/>
      <c r="AZ474" s="81"/>
      <c r="BA474" s="81"/>
      <c r="BB474" s="81"/>
      <c r="BC474" s="81"/>
      <c r="BD474" s="81"/>
    </row>
    <row r="475" ht="15.0" customHeight="1">
      <c r="A475" s="81"/>
      <c r="B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  <c r="AB475" s="81"/>
      <c r="AC475" s="81"/>
      <c r="AD475" s="81"/>
      <c r="AE475" s="81"/>
      <c r="AF475" s="81"/>
      <c r="AG475" s="81"/>
      <c r="AH475" s="81"/>
      <c r="AI475" s="81"/>
      <c r="AJ475" s="81"/>
      <c r="AK475" s="81"/>
      <c r="AL475" s="81"/>
      <c r="AM475" s="81"/>
      <c r="AN475" s="81"/>
      <c r="AO475" s="81"/>
      <c r="AP475" s="81"/>
      <c r="AQ475" s="81"/>
      <c r="AR475" s="81"/>
      <c r="AS475" s="81"/>
      <c r="AT475" s="81"/>
      <c r="AU475" s="81"/>
      <c r="AV475" s="81"/>
      <c r="AW475" s="81"/>
      <c r="AX475" s="81"/>
      <c r="AY475" s="81"/>
      <c r="AZ475" s="81"/>
      <c r="BA475" s="81"/>
      <c r="BB475" s="81"/>
      <c r="BC475" s="81"/>
      <c r="BD475" s="81"/>
    </row>
    <row r="476" ht="15.0" customHeight="1">
      <c r="A476" s="81"/>
      <c r="B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  <c r="AB476" s="81"/>
      <c r="AC476" s="81"/>
      <c r="AD476" s="81"/>
      <c r="AE476" s="81"/>
      <c r="AF476" s="81"/>
      <c r="AG476" s="81"/>
      <c r="AH476" s="81"/>
      <c r="AI476" s="81"/>
      <c r="AJ476" s="81"/>
      <c r="AK476" s="81"/>
      <c r="AL476" s="81"/>
      <c r="AM476" s="81"/>
      <c r="AN476" s="81"/>
      <c r="AO476" s="81"/>
      <c r="AP476" s="81"/>
      <c r="AQ476" s="81"/>
      <c r="AR476" s="81"/>
      <c r="AS476" s="81"/>
      <c r="AT476" s="81"/>
      <c r="AU476" s="81"/>
      <c r="AV476" s="81"/>
      <c r="AW476" s="81"/>
      <c r="AX476" s="81"/>
      <c r="AY476" s="81"/>
      <c r="AZ476" s="81"/>
      <c r="BA476" s="81"/>
      <c r="BB476" s="81"/>
      <c r="BC476" s="81"/>
      <c r="BD476" s="81"/>
    </row>
    <row r="477" ht="15.0" customHeight="1">
      <c r="A477" s="81"/>
      <c r="B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  <c r="AB477" s="81"/>
      <c r="AC477" s="81"/>
      <c r="AD477" s="81"/>
      <c r="AE477" s="81"/>
      <c r="AF477" s="81"/>
      <c r="AG477" s="81"/>
      <c r="AH477" s="81"/>
      <c r="AI477" s="81"/>
      <c r="AJ477" s="81"/>
      <c r="AK477" s="81"/>
      <c r="AL477" s="81"/>
      <c r="AM477" s="81"/>
      <c r="AN477" s="81"/>
      <c r="AO477" s="81"/>
      <c r="AP477" s="81"/>
      <c r="AQ477" s="81"/>
      <c r="AR477" s="81"/>
      <c r="AS477" s="81"/>
      <c r="AT477" s="81"/>
      <c r="AU477" s="81"/>
      <c r="AV477" s="81"/>
      <c r="AW477" s="81"/>
      <c r="AX477" s="81"/>
      <c r="AY477" s="81"/>
      <c r="AZ477" s="81"/>
      <c r="BA477" s="81"/>
      <c r="BB477" s="81"/>
      <c r="BC477" s="81"/>
      <c r="BD477" s="81"/>
    </row>
    <row r="478" ht="15.0" customHeight="1">
      <c r="A478" s="81"/>
      <c r="B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  <c r="AB478" s="81"/>
      <c r="AC478" s="81"/>
      <c r="AD478" s="81"/>
      <c r="AE478" s="81"/>
      <c r="AF478" s="81"/>
      <c r="AG478" s="81"/>
      <c r="AH478" s="81"/>
      <c r="AI478" s="81"/>
      <c r="AJ478" s="81"/>
      <c r="AK478" s="81"/>
      <c r="AL478" s="81"/>
      <c r="AM478" s="81"/>
      <c r="AN478" s="81"/>
      <c r="AO478" s="81"/>
      <c r="AP478" s="81"/>
      <c r="AQ478" s="81"/>
      <c r="AR478" s="81"/>
      <c r="AS478" s="81"/>
      <c r="AT478" s="81"/>
      <c r="AU478" s="81"/>
      <c r="AV478" s="81"/>
      <c r="AW478" s="81"/>
      <c r="AX478" s="81"/>
      <c r="AY478" s="81"/>
      <c r="AZ478" s="81"/>
      <c r="BA478" s="81"/>
      <c r="BB478" s="81"/>
      <c r="BC478" s="81"/>
      <c r="BD478" s="81"/>
    </row>
    <row r="479" ht="15.0" customHeight="1">
      <c r="A479" s="81"/>
      <c r="B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  <c r="AB479" s="81"/>
      <c r="AC479" s="81"/>
      <c r="AD479" s="81"/>
      <c r="AE479" s="81"/>
      <c r="AF479" s="81"/>
      <c r="AG479" s="81"/>
      <c r="AH479" s="81"/>
      <c r="AI479" s="81"/>
      <c r="AJ479" s="81"/>
      <c r="AK479" s="81"/>
      <c r="AL479" s="81"/>
      <c r="AM479" s="81"/>
      <c r="AN479" s="81"/>
      <c r="AO479" s="81"/>
      <c r="AP479" s="81"/>
      <c r="AQ479" s="81"/>
      <c r="AR479" s="81"/>
      <c r="AS479" s="81"/>
      <c r="AT479" s="81"/>
      <c r="AU479" s="81"/>
      <c r="AV479" s="81"/>
      <c r="AW479" s="81"/>
      <c r="AX479" s="81"/>
      <c r="AY479" s="81"/>
      <c r="AZ479" s="81"/>
      <c r="BA479" s="81"/>
      <c r="BB479" s="81"/>
      <c r="BC479" s="81"/>
      <c r="BD479" s="81"/>
    </row>
    <row r="480" ht="15.0" customHeight="1">
      <c r="A480" s="81"/>
      <c r="B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  <c r="AB480" s="81"/>
      <c r="AC480" s="81"/>
      <c r="AD480" s="81"/>
      <c r="AE480" s="81"/>
      <c r="AF480" s="81"/>
      <c r="AG480" s="81"/>
      <c r="AH480" s="81"/>
      <c r="AI480" s="81"/>
      <c r="AJ480" s="81"/>
      <c r="AK480" s="81"/>
      <c r="AL480" s="81"/>
      <c r="AM480" s="81"/>
      <c r="AN480" s="81"/>
      <c r="AO480" s="81"/>
      <c r="AP480" s="81"/>
      <c r="AQ480" s="81"/>
      <c r="AR480" s="81"/>
      <c r="AS480" s="81"/>
      <c r="AT480" s="81"/>
      <c r="AU480" s="81"/>
      <c r="AV480" s="81"/>
      <c r="AW480" s="81"/>
      <c r="AX480" s="81"/>
      <c r="AY480" s="81"/>
      <c r="AZ480" s="81"/>
      <c r="BA480" s="81"/>
      <c r="BB480" s="81"/>
      <c r="BC480" s="81"/>
      <c r="BD480" s="81"/>
    </row>
    <row r="481" ht="15.0" customHeight="1">
      <c r="A481" s="81"/>
      <c r="B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  <c r="AB481" s="81"/>
      <c r="AC481" s="81"/>
      <c r="AD481" s="81"/>
      <c r="AE481" s="81"/>
      <c r="AF481" s="81"/>
      <c r="AG481" s="81"/>
      <c r="AH481" s="81"/>
      <c r="AI481" s="81"/>
      <c r="AJ481" s="81"/>
      <c r="AK481" s="81"/>
      <c r="AL481" s="81"/>
      <c r="AM481" s="81"/>
      <c r="AN481" s="81"/>
      <c r="AO481" s="81"/>
      <c r="AP481" s="81"/>
      <c r="AQ481" s="81"/>
      <c r="AR481" s="81"/>
      <c r="AS481" s="81"/>
      <c r="AT481" s="81"/>
      <c r="AU481" s="81"/>
      <c r="AV481" s="81"/>
      <c r="AW481" s="81"/>
      <c r="AX481" s="81"/>
      <c r="AY481" s="81"/>
      <c r="AZ481" s="81"/>
      <c r="BA481" s="81"/>
      <c r="BB481" s="81"/>
      <c r="BC481" s="81"/>
      <c r="BD481" s="81"/>
    </row>
    <row r="482" ht="15.0" customHeight="1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  <c r="AB482" s="81"/>
      <c r="AC482" s="81"/>
      <c r="AD482" s="81"/>
      <c r="AE482" s="81"/>
      <c r="AF482" s="81"/>
      <c r="AG482" s="81"/>
      <c r="AH482" s="81"/>
      <c r="AI482" s="81"/>
      <c r="AJ482" s="81"/>
      <c r="AK482" s="81"/>
      <c r="AL482" s="81"/>
      <c r="AM482" s="81"/>
      <c r="AN482" s="81"/>
      <c r="AO482" s="81"/>
      <c r="AP482" s="81"/>
      <c r="AQ482" s="81"/>
      <c r="AR482" s="81"/>
      <c r="AS482" s="81"/>
      <c r="AT482" s="81"/>
      <c r="AU482" s="81"/>
      <c r="AV482" s="81"/>
      <c r="AW482" s="81"/>
      <c r="AX482" s="81"/>
      <c r="AY482" s="81"/>
      <c r="AZ482" s="81"/>
      <c r="BA482" s="81"/>
      <c r="BB482" s="81"/>
      <c r="BC482" s="81"/>
      <c r="BD482" s="81"/>
    </row>
    <row r="483" ht="15.0" customHeight="1">
      <c r="A483" s="81"/>
      <c r="B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  <c r="AB483" s="81"/>
      <c r="AC483" s="81"/>
      <c r="AD483" s="81"/>
      <c r="AE483" s="81"/>
      <c r="AF483" s="81"/>
      <c r="AG483" s="81"/>
      <c r="AH483" s="81"/>
      <c r="AI483" s="81"/>
      <c r="AJ483" s="81"/>
      <c r="AK483" s="81"/>
      <c r="AL483" s="81"/>
      <c r="AM483" s="81"/>
      <c r="AN483" s="81"/>
      <c r="AO483" s="81"/>
      <c r="AP483" s="81"/>
      <c r="AQ483" s="81"/>
      <c r="AR483" s="81"/>
      <c r="AS483" s="81"/>
      <c r="AT483" s="81"/>
      <c r="AU483" s="81"/>
      <c r="AV483" s="81"/>
      <c r="AW483" s="81"/>
      <c r="AX483" s="81"/>
      <c r="AY483" s="81"/>
      <c r="AZ483" s="81"/>
      <c r="BA483" s="81"/>
      <c r="BB483" s="81"/>
      <c r="BC483" s="81"/>
      <c r="BD483" s="81"/>
    </row>
    <row r="484" ht="15.0" customHeight="1">
      <c r="A484" s="81"/>
      <c r="B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  <c r="AB484" s="81"/>
      <c r="AC484" s="81"/>
      <c r="AD484" s="81"/>
      <c r="AE484" s="81"/>
      <c r="AF484" s="81"/>
      <c r="AG484" s="81"/>
      <c r="AH484" s="81"/>
      <c r="AI484" s="81"/>
      <c r="AJ484" s="81"/>
      <c r="AK484" s="81"/>
      <c r="AL484" s="81"/>
      <c r="AM484" s="81"/>
      <c r="AN484" s="81"/>
      <c r="AO484" s="81"/>
      <c r="AP484" s="81"/>
      <c r="AQ484" s="81"/>
      <c r="AR484" s="81"/>
      <c r="AS484" s="81"/>
      <c r="AT484" s="81"/>
      <c r="AU484" s="81"/>
      <c r="AV484" s="81"/>
      <c r="AW484" s="81"/>
      <c r="AX484" s="81"/>
      <c r="AY484" s="81"/>
      <c r="AZ484" s="81"/>
      <c r="BA484" s="81"/>
      <c r="BB484" s="81"/>
      <c r="BC484" s="81"/>
      <c r="BD484" s="81"/>
    </row>
    <row r="485" ht="15.0" customHeight="1">
      <c r="A485" s="81"/>
      <c r="B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  <c r="AB485" s="81"/>
      <c r="AC485" s="81"/>
      <c r="AD485" s="81"/>
      <c r="AE485" s="81"/>
      <c r="AF485" s="81"/>
      <c r="AG485" s="81"/>
      <c r="AH485" s="81"/>
      <c r="AI485" s="81"/>
      <c r="AJ485" s="81"/>
      <c r="AK485" s="81"/>
      <c r="AL485" s="81"/>
      <c r="AM485" s="81"/>
      <c r="AN485" s="81"/>
      <c r="AO485" s="81"/>
      <c r="AP485" s="81"/>
      <c r="AQ485" s="81"/>
      <c r="AR485" s="81"/>
      <c r="AS485" s="81"/>
      <c r="AT485" s="81"/>
      <c r="AU485" s="81"/>
      <c r="AV485" s="81"/>
      <c r="AW485" s="81"/>
      <c r="AX485" s="81"/>
      <c r="AY485" s="81"/>
      <c r="AZ485" s="81"/>
      <c r="BA485" s="81"/>
      <c r="BB485" s="81"/>
      <c r="BC485" s="81"/>
      <c r="BD485" s="81"/>
    </row>
    <row r="486" ht="15.0" customHeight="1">
      <c r="A486" s="81"/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  <c r="AB486" s="81"/>
      <c r="AC486" s="81"/>
      <c r="AD486" s="81"/>
      <c r="AE486" s="81"/>
      <c r="AF486" s="81"/>
      <c r="AG486" s="81"/>
      <c r="AH486" s="81"/>
      <c r="AI486" s="81"/>
      <c r="AJ486" s="81"/>
      <c r="AK486" s="81"/>
      <c r="AL486" s="81"/>
      <c r="AM486" s="81"/>
      <c r="AN486" s="81"/>
      <c r="AO486" s="81"/>
      <c r="AP486" s="81"/>
      <c r="AQ486" s="81"/>
      <c r="AR486" s="81"/>
      <c r="AS486" s="81"/>
      <c r="AT486" s="81"/>
      <c r="AU486" s="81"/>
      <c r="AV486" s="81"/>
      <c r="AW486" s="81"/>
      <c r="AX486" s="81"/>
      <c r="AY486" s="81"/>
      <c r="AZ486" s="81"/>
      <c r="BA486" s="81"/>
      <c r="BB486" s="81"/>
      <c r="BC486" s="81"/>
      <c r="BD486" s="81"/>
    </row>
    <row r="487" ht="15.0" customHeight="1">
      <c r="A487" s="81"/>
      <c r="B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  <c r="AB487" s="81"/>
      <c r="AC487" s="81"/>
      <c r="AD487" s="81"/>
      <c r="AE487" s="81"/>
      <c r="AF487" s="81"/>
      <c r="AG487" s="81"/>
      <c r="AH487" s="81"/>
      <c r="AI487" s="81"/>
      <c r="AJ487" s="81"/>
      <c r="AK487" s="81"/>
      <c r="AL487" s="81"/>
      <c r="AM487" s="81"/>
      <c r="AN487" s="81"/>
      <c r="AO487" s="81"/>
      <c r="AP487" s="81"/>
      <c r="AQ487" s="81"/>
      <c r="AR487" s="81"/>
      <c r="AS487" s="81"/>
      <c r="AT487" s="81"/>
      <c r="AU487" s="81"/>
      <c r="AV487" s="81"/>
      <c r="AW487" s="81"/>
      <c r="AX487" s="81"/>
      <c r="AY487" s="81"/>
      <c r="AZ487" s="81"/>
      <c r="BA487" s="81"/>
      <c r="BB487" s="81"/>
      <c r="BC487" s="81"/>
      <c r="BD487" s="81"/>
    </row>
    <row r="488" ht="15.0" customHeight="1">
      <c r="A488" s="81"/>
      <c r="B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  <c r="AB488" s="81"/>
      <c r="AC488" s="81"/>
      <c r="AD488" s="81"/>
      <c r="AE488" s="81"/>
      <c r="AF488" s="81"/>
      <c r="AG488" s="81"/>
      <c r="AH488" s="81"/>
      <c r="AI488" s="81"/>
      <c r="AJ488" s="81"/>
      <c r="AK488" s="81"/>
      <c r="AL488" s="81"/>
      <c r="AM488" s="81"/>
      <c r="AN488" s="81"/>
      <c r="AO488" s="81"/>
      <c r="AP488" s="81"/>
      <c r="AQ488" s="81"/>
      <c r="AR488" s="81"/>
      <c r="AS488" s="81"/>
      <c r="AT488" s="81"/>
      <c r="AU488" s="81"/>
      <c r="AV488" s="81"/>
      <c r="AW488" s="81"/>
      <c r="AX488" s="81"/>
      <c r="AY488" s="81"/>
      <c r="AZ488" s="81"/>
      <c r="BA488" s="81"/>
      <c r="BB488" s="81"/>
      <c r="BC488" s="81"/>
      <c r="BD488" s="81"/>
    </row>
    <row r="489" ht="15.0" customHeight="1">
      <c r="A489" s="81"/>
      <c r="B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  <c r="AB489" s="81"/>
      <c r="AC489" s="81"/>
      <c r="AD489" s="81"/>
      <c r="AE489" s="81"/>
      <c r="AF489" s="81"/>
      <c r="AG489" s="81"/>
      <c r="AH489" s="81"/>
      <c r="AI489" s="81"/>
      <c r="AJ489" s="81"/>
      <c r="AK489" s="81"/>
      <c r="AL489" s="81"/>
      <c r="AM489" s="81"/>
      <c r="AN489" s="81"/>
      <c r="AO489" s="81"/>
      <c r="AP489" s="81"/>
      <c r="AQ489" s="81"/>
      <c r="AR489" s="81"/>
      <c r="AS489" s="81"/>
      <c r="AT489" s="81"/>
      <c r="AU489" s="81"/>
      <c r="AV489" s="81"/>
      <c r="AW489" s="81"/>
      <c r="AX489" s="81"/>
      <c r="AY489" s="81"/>
      <c r="AZ489" s="81"/>
      <c r="BA489" s="81"/>
      <c r="BB489" s="81"/>
      <c r="BC489" s="81"/>
      <c r="BD489" s="81"/>
    </row>
    <row r="490" ht="15.0" customHeight="1">
      <c r="A490" s="81"/>
      <c r="B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  <c r="AB490" s="81"/>
      <c r="AC490" s="81"/>
      <c r="AD490" s="81"/>
      <c r="AE490" s="81"/>
      <c r="AF490" s="81"/>
      <c r="AG490" s="81"/>
      <c r="AH490" s="81"/>
      <c r="AI490" s="81"/>
      <c r="AJ490" s="81"/>
      <c r="AK490" s="81"/>
      <c r="AL490" s="81"/>
      <c r="AM490" s="81"/>
      <c r="AN490" s="81"/>
      <c r="AO490" s="81"/>
      <c r="AP490" s="81"/>
      <c r="AQ490" s="81"/>
      <c r="AR490" s="81"/>
      <c r="AS490" s="81"/>
      <c r="AT490" s="81"/>
      <c r="AU490" s="81"/>
      <c r="AV490" s="81"/>
      <c r="AW490" s="81"/>
      <c r="AX490" s="81"/>
      <c r="AY490" s="81"/>
      <c r="AZ490" s="81"/>
      <c r="BA490" s="81"/>
      <c r="BB490" s="81"/>
      <c r="BC490" s="81"/>
      <c r="BD490" s="81"/>
    </row>
    <row r="491" ht="15.0" customHeight="1">
      <c r="A491" s="81"/>
      <c r="B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  <c r="AB491" s="81"/>
      <c r="AC491" s="81"/>
      <c r="AD491" s="81"/>
      <c r="AE491" s="81"/>
      <c r="AF491" s="81"/>
      <c r="AG491" s="81"/>
      <c r="AH491" s="81"/>
      <c r="AI491" s="81"/>
      <c r="AJ491" s="81"/>
      <c r="AK491" s="81"/>
      <c r="AL491" s="81"/>
      <c r="AM491" s="81"/>
      <c r="AN491" s="81"/>
      <c r="AO491" s="81"/>
      <c r="AP491" s="81"/>
      <c r="AQ491" s="81"/>
      <c r="AR491" s="81"/>
      <c r="AS491" s="81"/>
      <c r="AT491" s="81"/>
      <c r="AU491" s="81"/>
      <c r="AV491" s="81"/>
      <c r="AW491" s="81"/>
      <c r="AX491" s="81"/>
      <c r="AY491" s="81"/>
      <c r="AZ491" s="81"/>
      <c r="BA491" s="81"/>
      <c r="BB491" s="81"/>
      <c r="BC491" s="81"/>
      <c r="BD491" s="81"/>
    </row>
    <row r="492" ht="15.0" customHeight="1">
      <c r="A492" s="81"/>
      <c r="B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  <c r="AB492" s="81"/>
      <c r="AC492" s="81"/>
      <c r="AD492" s="81"/>
      <c r="AE492" s="81"/>
      <c r="AF492" s="81"/>
      <c r="AG492" s="81"/>
      <c r="AH492" s="81"/>
      <c r="AI492" s="81"/>
      <c r="AJ492" s="81"/>
      <c r="AK492" s="81"/>
      <c r="AL492" s="81"/>
      <c r="AM492" s="81"/>
      <c r="AN492" s="81"/>
      <c r="AO492" s="81"/>
      <c r="AP492" s="81"/>
      <c r="AQ492" s="81"/>
      <c r="AR492" s="81"/>
      <c r="AS492" s="81"/>
      <c r="AT492" s="81"/>
      <c r="AU492" s="81"/>
      <c r="AV492" s="81"/>
      <c r="AW492" s="81"/>
      <c r="AX492" s="81"/>
      <c r="AY492" s="81"/>
      <c r="AZ492" s="81"/>
      <c r="BA492" s="81"/>
      <c r="BB492" s="81"/>
      <c r="BC492" s="81"/>
      <c r="BD492" s="81"/>
    </row>
    <row r="493" ht="15.0" customHeight="1">
      <c r="A493" s="81"/>
      <c r="B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  <c r="AB493" s="81"/>
      <c r="AC493" s="81"/>
      <c r="AD493" s="81"/>
      <c r="AE493" s="81"/>
      <c r="AF493" s="81"/>
      <c r="AG493" s="81"/>
      <c r="AH493" s="81"/>
      <c r="AI493" s="81"/>
      <c r="AJ493" s="81"/>
      <c r="AK493" s="81"/>
      <c r="AL493" s="81"/>
      <c r="AM493" s="81"/>
      <c r="AN493" s="81"/>
      <c r="AO493" s="81"/>
      <c r="AP493" s="81"/>
      <c r="AQ493" s="81"/>
      <c r="AR493" s="81"/>
      <c r="AS493" s="81"/>
      <c r="AT493" s="81"/>
      <c r="AU493" s="81"/>
      <c r="AV493" s="81"/>
      <c r="AW493" s="81"/>
      <c r="AX493" s="81"/>
      <c r="AY493" s="81"/>
      <c r="AZ493" s="81"/>
      <c r="BA493" s="81"/>
      <c r="BB493" s="81"/>
      <c r="BC493" s="81"/>
      <c r="BD493" s="81"/>
    </row>
    <row r="494" ht="15.0" customHeight="1">
      <c r="A494" s="81"/>
      <c r="B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  <c r="AB494" s="81"/>
      <c r="AC494" s="81"/>
      <c r="AD494" s="81"/>
      <c r="AE494" s="81"/>
      <c r="AF494" s="81"/>
      <c r="AG494" s="81"/>
      <c r="AH494" s="81"/>
      <c r="AI494" s="81"/>
      <c r="AJ494" s="81"/>
      <c r="AK494" s="81"/>
      <c r="AL494" s="81"/>
      <c r="AM494" s="81"/>
      <c r="AN494" s="81"/>
      <c r="AO494" s="81"/>
      <c r="AP494" s="81"/>
      <c r="AQ494" s="81"/>
      <c r="AR494" s="81"/>
      <c r="AS494" s="81"/>
      <c r="AT494" s="81"/>
      <c r="AU494" s="81"/>
      <c r="AV494" s="81"/>
      <c r="AW494" s="81"/>
      <c r="AX494" s="81"/>
      <c r="AY494" s="81"/>
      <c r="AZ494" s="81"/>
      <c r="BA494" s="81"/>
      <c r="BB494" s="81"/>
      <c r="BC494" s="81"/>
      <c r="BD494" s="81"/>
    </row>
    <row r="495" ht="15.0" customHeight="1">
      <c r="A495" s="81"/>
      <c r="B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  <c r="AB495" s="81"/>
      <c r="AC495" s="81"/>
      <c r="AD495" s="81"/>
      <c r="AE495" s="81"/>
      <c r="AF495" s="81"/>
      <c r="AG495" s="81"/>
      <c r="AH495" s="81"/>
      <c r="AI495" s="81"/>
      <c r="AJ495" s="81"/>
      <c r="AK495" s="81"/>
      <c r="AL495" s="81"/>
      <c r="AM495" s="81"/>
      <c r="AN495" s="81"/>
      <c r="AO495" s="81"/>
      <c r="AP495" s="81"/>
      <c r="AQ495" s="81"/>
      <c r="AR495" s="81"/>
      <c r="AS495" s="81"/>
      <c r="AT495" s="81"/>
      <c r="AU495" s="81"/>
      <c r="AV495" s="81"/>
      <c r="AW495" s="81"/>
      <c r="AX495" s="81"/>
      <c r="AY495" s="81"/>
      <c r="AZ495" s="81"/>
      <c r="BA495" s="81"/>
      <c r="BB495" s="81"/>
      <c r="BC495" s="81"/>
      <c r="BD495" s="81"/>
    </row>
    <row r="496" ht="15.0" customHeight="1">
      <c r="A496" s="81"/>
      <c r="B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  <c r="AB496" s="81"/>
      <c r="AC496" s="81"/>
      <c r="AD496" s="81"/>
      <c r="AE496" s="81"/>
      <c r="AF496" s="81"/>
      <c r="AG496" s="81"/>
      <c r="AH496" s="81"/>
      <c r="AI496" s="81"/>
      <c r="AJ496" s="81"/>
      <c r="AK496" s="81"/>
      <c r="AL496" s="81"/>
      <c r="AM496" s="81"/>
      <c r="AN496" s="81"/>
      <c r="AO496" s="81"/>
      <c r="AP496" s="81"/>
      <c r="AQ496" s="81"/>
      <c r="AR496" s="81"/>
      <c r="AS496" s="81"/>
      <c r="AT496" s="81"/>
      <c r="AU496" s="81"/>
      <c r="AV496" s="81"/>
      <c r="AW496" s="81"/>
      <c r="AX496" s="81"/>
      <c r="AY496" s="81"/>
      <c r="AZ496" s="81"/>
      <c r="BA496" s="81"/>
      <c r="BB496" s="81"/>
      <c r="BC496" s="81"/>
      <c r="BD496" s="81"/>
    </row>
    <row r="497" ht="15.0" customHeight="1">
      <c r="A497" s="81"/>
      <c r="B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  <c r="AB497" s="81"/>
      <c r="AC497" s="81"/>
      <c r="AD497" s="81"/>
      <c r="AE497" s="81"/>
      <c r="AF497" s="81"/>
      <c r="AG497" s="81"/>
      <c r="AH497" s="81"/>
      <c r="AI497" s="81"/>
      <c r="AJ497" s="81"/>
      <c r="AK497" s="81"/>
      <c r="AL497" s="81"/>
      <c r="AM497" s="81"/>
      <c r="AN497" s="81"/>
      <c r="AO497" s="81"/>
      <c r="AP497" s="81"/>
      <c r="AQ497" s="81"/>
      <c r="AR497" s="81"/>
      <c r="AS497" s="81"/>
      <c r="AT497" s="81"/>
      <c r="AU497" s="81"/>
      <c r="AV497" s="81"/>
      <c r="AW497" s="81"/>
      <c r="AX497" s="81"/>
      <c r="AY497" s="81"/>
      <c r="AZ497" s="81"/>
      <c r="BA497" s="81"/>
      <c r="BB497" s="81"/>
      <c r="BC497" s="81"/>
      <c r="BD497" s="81"/>
    </row>
    <row r="498" ht="15.0" customHeight="1">
      <c r="A498" s="81"/>
      <c r="B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  <c r="AB498" s="81"/>
      <c r="AC498" s="81"/>
      <c r="AD498" s="81"/>
      <c r="AE498" s="81"/>
      <c r="AF498" s="81"/>
      <c r="AG498" s="81"/>
      <c r="AH498" s="81"/>
      <c r="AI498" s="81"/>
      <c r="AJ498" s="81"/>
      <c r="AK498" s="81"/>
      <c r="AL498" s="81"/>
      <c r="AM498" s="81"/>
      <c r="AN498" s="81"/>
      <c r="AO498" s="81"/>
      <c r="AP498" s="81"/>
      <c r="AQ498" s="81"/>
      <c r="AR498" s="81"/>
      <c r="AS498" s="81"/>
      <c r="AT498" s="81"/>
      <c r="AU498" s="81"/>
      <c r="AV498" s="81"/>
      <c r="AW498" s="81"/>
      <c r="AX498" s="81"/>
      <c r="AY498" s="81"/>
      <c r="AZ498" s="81"/>
      <c r="BA498" s="81"/>
      <c r="BB498" s="81"/>
      <c r="BC498" s="81"/>
      <c r="BD498" s="81"/>
    </row>
    <row r="499" ht="15.0" customHeight="1">
      <c r="A499" s="81"/>
      <c r="B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  <c r="AB499" s="81"/>
      <c r="AC499" s="81"/>
      <c r="AD499" s="81"/>
      <c r="AE499" s="81"/>
      <c r="AF499" s="81"/>
      <c r="AG499" s="81"/>
      <c r="AH499" s="81"/>
      <c r="AI499" s="81"/>
      <c r="AJ499" s="81"/>
      <c r="AK499" s="81"/>
      <c r="AL499" s="81"/>
      <c r="AM499" s="81"/>
      <c r="AN499" s="81"/>
      <c r="AO499" s="81"/>
      <c r="AP499" s="81"/>
      <c r="AQ499" s="81"/>
      <c r="AR499" s="81"/>
      <c r="AS499" s="81"/>
      <c r="AT499" s="81"/>
      <c r="AU499" s="81"/>
      <c r="AV499" s="81"/>
      <c r="AW499" s="81"/>
      <c r="AX499" s="81"/>
      <c r="AY499" s="81"/>
      <c r="AZ499" s="81"/>
      <c r="BA499" s="81"/>
      <c r="BB499" s="81"/>
      <c r="BC499" s="81"/>
      <c r="BD499" s="81"/>
    </row>
    <row r="500" ht="15.0" customHeight="1">
      <c r="A500" s="81"/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  <c r="AB500" s="81"/>
      <c r="AC500" s="81"/>
      <c r="AD500" s="81"/>
      <c r="AE500" s="81"/>
      <c r="AF500" s="81"/>
      <c r="AG500" s="81"/>
      <c r="AH500" s="81"/>
      <c r="AI500" s="81"/>
      <c r="AJ500" s="81"/>
      <c r="AK500" s="81"/>
      <c r="AL500" s="81"/>
      <c r="AM500" s="81"/>
      <c r="AN500" s="81"/>
      <c r="AO500" s="81"/>
      <c r="AP500" s="81"/>
      <c r="AQ500" s="81"/>
      <c r="AR500" s="81"/>
      <c r="AS500" s="81"/>
      <c r="AT500" s="81"/>
      <c r="AU500" s="81"/>
      <c r="AV500" s="81"/>
      <c r="AW500" s="81"/>
      <c r="AX500" s="81"/>
      <c r="AY500" s="81"/>
      <c r="AZ500" s="81"/>
      <c r="BA500" s="81"/>
      <c r="BB500" s="81"/>
      <c r="BC500" s="81"/>
      <c r="BD500" s="81"/>
    </row>
    <row r="501" ht="15.0" customHeight="1">
      <c r="A501" s="81"/>
      <c r="B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  <c r="AB501" s="81"/>
      <c r="AC501" s="81"/>
      <c r="AD501" s="81"/>
      <c r="AE501" s="81"/>
      <c r="AF501" s="81"/>
      <c r="AG501" s="81"/>
      <c r="AH501" s="81"/>
      <c r="AI501" s="81"/>
      <c r="AJ501" s="81"/>
      <c r="AK501" s="81"/>
      <c r="AL501" s="81"/>
      <c r="AM501" s="81"/>
      <c r="AN501" s="81"/>
      <c r="AO501" s="81"/>
      <c r="AP501" s="81"/>
      <c r="AQ501" s="81"/>
      <c r="AR501" s="81"/>
      <c r="AS501" s="81"/>
      <c r="AT501" s="81"/>
      <c r="AU501" s="81"/>
      <c r="AV501" s="81"/>
      <c r="AW501" s="81"/>
      <c r="AX501" s="81"/>
      <c r="AY501" s="81"/>
      <c r="AZ501" s="81"/>
      <c r="BA501" s="81"/>
      <c r="BB501" s="81"/>
      <c r="BC501" s="81"/>
      <c r="BD501" s="81"/>
    </row>
    <row r="502" ht="15.0" customHeight="1">
      <c r="A502" s="81"/>
      <c r="B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  <c r="AB502" s="81"/>
      <c r="AC502" s="81"/>
      <c r="AD502" s="81"/>
      <c r="AE502" s="81"/>
      <c r="AF502" s="81"/>
      <c r="AG502" s="81"/>
      <c r="AH502" s="81"/>
      <c r="AI502" s="81"/>
      <c r="AJ502" s="81"/>
      <c r="AK502" s="81"/>
      <c r="AL502" s="81"/>
      <c r="AM502" s="81"/>
      <c r="AN502" s="81"/>
      <c r="AO502" s="81"/>
      <c r="AP502" s="81"/>
      <c r="AQ502" s="81"/>
      <c r="AR502" s="81"/>
      <c r="AS502" s="81"/>
      <c r="AT502" s="81"/>
      <c r="AU502" s="81"/>
      <c r="AV502" s="81"/>
      <c r="AW502" s="81"/>
      <c r="AX502" s="81"/>
      <c r="AY502" s="81"/>
      <c r="AZ502" s="81"/>
      <c r="BA502" s="81"/>
      <c r="BB502" s="81"/>
      <c r="BC502" s="81"/>
      <c r="BD502" s="81"/>
    </row>
    <row r="503" ht="15.0" customHeight="1">
      <c r="A503" s="81"/>
      <c r="B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  <c r="AB503" s="81"/>
      <c r="AC503" s="81"/>
      <c r="AD503" s="81"/>
      <c r="AE503" s="81"/>
      <c r="AF503" s="81"/>
      <c r="AG503" s="81"/>
      <c r="AH503" s="81"/>
      <c r="AI503" s="81"/>
      <c r="AJ503" s="81"/>
      <c r="AK503" s="81"/>
      <c r="AL503" s="81"/>
      <c r="AM503" s="81"/>
      <c r="AN503" s="81"/>
      <c r="AO503" s="81"/>
      <c r="AP503" s="81"/>
      <c r="AQ503" s="81"/>
      <c r="AR503" s="81"/>
      <c r="AS503" s="81"/>
      <c r="AT503" s="81"/>
      <c r="AU503" s="81"/>
      <c r="AV503" s="81"/>
      <c r="AW503" s="81"/>
      <c r="AX503" s="81"/>
      <c r="AY503" s="81"/>
      <c r="AZ503" s="81"/>
      <c r="BA503" s="81"/>
      <c r="BB503" s="81"/>
      <c r="BC503" s="81"/>
      <c r="BD503" s="81"/>
    </row>
    <row r="504" ht="15.0" customHeight="1">
      <c r="A504" s="81"/>
      <c r="B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  <c r="AA504" s="81"/>
      <c r="AB504" s="81"/>
      <c r="AC504" s="81"/>
      <c r="AD504" s="81"/>
      <c r="AE504" s="81"/>
      <c r="AF504" s="81"/>
      <c r="AG504" s="81"/>
      <c r="AH504" s="81"/>
      <c r="AI504" s="81"/>
      <c r="AJ504" s="81"/>
      <c r="AK504" s="81"/>
      <c r="AL504" s="81"/>
      <c r="AM504" s="81"/>
      <c r="AN504" s="81"/>
      <c r="AO504" s="81"/>
      <c r="AP504" s="81"/>
      <c r="AQ504" s="81"/>
      <c r="AR504" s="81"/>
      <c r="AS504" s="81"/>
      <c r="AT504" s="81"/>
      <c r="AU504" s="81"/>
      <c r="AV504" s="81"/>
      <c r="AW504" s="81"/>
      <c r="AX504" s="81"/>
      <c r="AY504" s="81"/>
      <c r="AZ504" s="81"/>
      <c r="BA504" s="81"/>
      <c r="BB504" s="81"/>
      <c r="BC504" s="81"/>
      <c r="BD504" s="81"/>
    </row>
    <row r="505" ht="15.0" customHeight="1">
      <c r="A505" s="81"/>
      <c r="B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  <c r="AA505" s="81"/>
      <c r="AB505" s="81"/>
      <c r="AC505" s="81"/>
      <c r="AD505" s="81"/>
      <c r="AE505" s="81"/>
      <c r="AF505" s="81"/>
      <c r="AG505" s="81"/>
      <c r="AH505" s="81"/>
      <c r="AI505" s="81"/>
      <c r="AJ505" s="81"/>
      <c r="AK505" s="81"/>
      <c r="AL505" s="81"/>
      <c r="AM505" s="81"/>
      <c r="AN505" s="81"/>
      <c r="AO505" s="81"/>
      <c r="AP505" s="81"/>
      <c r="AQ505" s="81"/>
      <c r="AR505" s="81"/>
      <c r="AS505" s="81"/>
      <c r="AT505" s="81"/>
      <c r="AU505" s="81"/>
      <c r="AV505" s="81"/>
      <c r="AW505" s="81"/>
      <c r="AX505" s="81"/>
      <c r="AY505" s="81"/>
      <c r="AZ505" s="81"/>
      <c r="BA505" s="81"/>
      <c r="BB505" s="81"/>
      <c r="BC505" s="81"/>
      <c r="BD505" s="81"/>
    </row>
    <row r="506" ht="15.0" customHeight="1">
      <c r="A506" s="81"/>
      <c r="B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  <c r="AA506" s="81"/>
      <c r="AB506" s="81"/>
      <c r="AC506" s="81"/>
      <c r="AD506" s="81"/>
      <c r="AE506" s="81"/>
      <c r="AF506" s="81"/>
      <c r="AG506" s="81"/>
      <c r="AH506" s="81"/>
      <c r="AI506" s="81"/>
      <c r="AJ506" s="81"/>
      <c r="AK506" s="81"/>
      <c r="AL506" s="81"/>
      <c r="AM506" s="81"/>
      <c r="AN506" s="81"/>
      <c r="AO506" s="81"/>
      <c r="AP506" s="81"/>
      <c r="AQ506" s="81"/>
      <c r="AR506" s="81"/>
      <c r="AS506" s="81"/>
      <c r="AT506" s="81"/>
      <c r="AU506" s="81"/>
      <c r="AV506" s="81"/>
      <c r="AW506" s="81"/>
      <c r="AX506" s="81"/>
      <c r="AY506" s="81"/>
      <c r="AZ506" s="81"/>
      <c r="BA506" s="81"/>
      <c r="BB506" s="81"/>
      <c r="BC506" s="81"/>
      <c r="BD506" s="81"/>
    </row>
    <row r="507" ht="15.0" customHeight="1">
      <c r="A507" s="81"/>
      <c r="B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  <c r="AA507" s="81"/>
      <c r="AB507" s="81"/>
      <c r="AC507" s="81"/>
      <c r="AD507" s="81"/>
      <c r="AE507" s="81"/>
      <c r="AF507" s="81"/>
      <c r="AG507" s="81"/>
      <c r="AH507" s="81"/>
      <c r="AI507" s="81"/>
      <c r="AJ507" s="81"/>
      <c r="AK507" s="81"/>
      <c r="AL507" s="81"/>
      <c r="AM507" s="81"/>
      <c r="AN507" s="81"/>
      <c r="AO507" s="81"/>
      <c r="AP507" s="81"/>
      <c r="AQ507" s="81"/>
      <c r="AR507" s="81"/>
      <c r="AS507" s="81"/>
      <c r="AT507" s="81"/>
      <c r="AU507" s="81"/>
      <c r="AV507" s="81"/>
      <c r="AW507" s="81"/>
      <c r="AX507" s="81"/>
      <c r="AY507" s="81"/>
      <c r="AZ507" s="81"/>
      <c r="BA507" s="81"/>
      <c r="BB507" s="81"/>
      <c r="BC507" s="81"/>
      <c r="BD507" s="81"/>
    </row>
    <row r="508" ht="15.0" customHeight="1">
      <c r="A508" s="81"/>
      <c r="B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  <c r="AA508" s="81"/>
      <c r="AB508" s="81"/>
      <c r="AC508" s="81"/>
      <c r="AD508" s="81"/>
      <c r="AE508" s="81"/>
      <c r="AF508" s="81"/>
      <c r="AG508" s="81"/>
      <c r="AH508" s="81"/>
      <c r="AI508" s="81"/>
      <c r="AJ508" s="81"/>
      <c r="AK508" s="81"/>
      <c r="AL508" s="81"/>
      <c r="AM508" s="81"/>
      <c r="AN508" s="81"/>
      <c r="AO508" s="81"/>
      <c r="AP508" s="81"/>
      <c r="AQ508" s="81"/>
      <c r="AR508" s="81"/>
      <c r="AS508" s="81"/>
      <c r="AT508" s="81"/>
      <c r="AU508" s="81"/>
      <c r="AV508" s="81"/>
      <c r="AW508" s="81"/>
      <c r="AX508" s="81"/>
      <c r="AY508" s="81"/>
      <c r="AZ508" s="81"/>
      <c r="BA508" s="81"/>
      <c r="BB508" s="81"/>
      <c r="BC508" s="81"/>
      <c r="BD508" s="81"/>
    </row>
    <row r="509" ht="15.0" customHeight="1">
      <c r="A509" s="81"/>
      <c r="B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  <c r="AA509" s="81"/>
      <c r="AB509" s="81"/>
      <c r="AC509" s="81"/>
      <c r="AD509" s="81"/>
      <c r="AE509" s="81"/>
      <c r="AF509" s="81"/>
      <c r="AG509" s="81"/>
      <c r="AH509" s="81"/>
      <c r="AI509" s="81"/>
      <c r="AJ509" s="81"/>
      <c r="AK509" s="81"/>
      <c r="AL509" s="81"/>
      <c r="AM509" s="81"/>
      <c r="AN509" s="81"/>
      <c r="AO509" s="81"/>
      <c r="AP509" s="81"/>
      <c r="AQ509" s="81"/>
      <c r="AR509" s="81"/>
      <c r="AS509" s="81"/>
      <c r="AT509" s="81"/>
      <c r="AU509" s="81"/>
      <c r="AV509" s="81"/>
      <c r="AW509" s="81"/>
      <c r="AX509" s="81"/>
      <c r="AY509" s="81"/>
      <c r="AZ509" s="81"/>
      <c r="BA509" s="81"/>
      <c r="BB509" s="81"/>
      <c r="BC509" s="81"/>
      <c r="BD509" s="81"/>
    </row>
    <row r="510" ht="15.0" customHeight="1">
      <c r="A510" s="81"/>
      <c r="B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  <c r="AA510" s="81"/>
      <c r="AB510" s="81"/>
      <c r="AC510" s="81"/>
      <c r="AD510" s="81"/>
      <c r="AE510" s="81"/>
      <c r="AF510" s="81"/>
      <c r="AG510" s="81"/>
      <c r="AH510" s="81"/>
      <c r="AI510" s="81"/>
      <c r="AJ510" s="81"/>
      <c r="AK510" s="81"/>
      <c r="AL510" s="81"/>
      <c r="AM510" s="81"/>
      <c r="AN510" s="81"/>
      <c r="AO510" s="81"/>
      <c r="AP510" s="81"/>
      <c r="AQ510" s="81"/>
      <c r="AR510" s="81"/>
      <c r="AS510" s="81"/>
      <c r="AT510" s="81"/>
      <c r="AU510" s="81"/>
      <c r="AV510" s="81"/>
      <c r="AW510" s="81"/>
      <c r="AX510" s="81"/>
      <c r="AY510" s="81"/>
      <c r="AZ510" s="81"/>
      <c r="BA510" s="81"/>
      <c r="BB510" s="81"/>
      <c r="BC510" s="81"/>
      <c r="BD510" s="81"/>
    </row>
    <row r="511" ht="15.0" customHeight="1">
      <c r="A511" s="81"/>
      <c r="B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  <c r="AA511" s="81"/>
      <c r="AB511" s="81"/>
      <c r="AC511" s="81"/>
      <c r="AD511" s="81"/>
      <c r="AE511" s="81"/>
      <c r="AF511" s="81"/>
      <c r="AG511" s="81"/>
      <c r="AH511" s="81"/>
      <c r="AI511" s="81"/>
      <c r="AJ511" s="81"/>
      <c r="AK511" s="81"/>
      <c r="AL511" s="81"/>
      <c r="AM511" s="81"/>
      <c r="AN511" s="81"/>
      <c r="AO511" s="81"/>
      <c r="AP511" s="81"/>
      <c r="AQ511" s="81"/>
      <c r="AR511" s="81"/>
      <c r="AS511" s="81"/>
      <c r="AT511" s="81"/>
      <c r="AU511" s="81"/>
      <c r="AV511" s="81"/>
      <c r="AW511" s="81"/>
      <c r="AX511" s="81"/>
      <c r="AY511" s="81"/>
      <c r="AZ511" s="81"/>
      <c r="BA511" s="81"/>
      <c r="BB511" s="81"/>
      <c r="BC511" s="81"/>
      <c r="BD511" s="81"/>
    </row>
    <row r="512" ht="15.0" customHeight="1">
      <c r="A512" s="81"/>
      <c r="B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  <c r="AA512" s="81"/>
      <c r="AB512" s="81"/>
      <c r="AC512" s="81"/>
      <c r="AD512" s="81"/>
      <c r="AE512" s="81"/>
      <c r="AF512" s="81"/>
      <c r="AG512" s="81"/>
      <c r="AH512" s="81"/>
      <c r="AI512" s="81"/>
      <c r="AJ512" s="81"/>
      <c r="AK512" s="81"/>
      <c r="AL512" s="81"/>
      <c r="AM512" s="81"/>
      <c r="AN512" s="81"/>
      <c r="AO512" s="81"/>
      <c r="AP512" s="81"/>
      <c r="AQ512" s="81"/>
      <c r="AR512" s="81"/>
      <c r="AS512" s="81"/>
      <c r="AT512" s="81"/>
      <c r="AU512" s="81"/>
      <c r="AV512" s="81"/>
      <c r="AW512" s="81"/>
      <c r="AX512" s="81"/>
      <c r="AY512" s="81"/>
      <c r="AZ512" s="81"/>
      <c r="BA512" s="81"/>
      <c r="BB512" s="81"/>
      <c r="BC512" s="81"/>
      <c r="BD512" s="81"/>
    </row>
    <row r="513" ht="15.0" customHeight="1">
      <c r="A513" s="81"/>
      <c r="B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  <c r="AA513" s="81"/>
      <c r="AB513" s="81"/>
      <c r="AC513" s="81"/>
      <c r="AD513" s="81"/>
      <c r="AE513" s="81"/>
      <c r="AF513" s="81"/>
      <c r="AG513" s="81"/>
      <c r="AH513" s="81"/>
      <c r="AI513" s="81"/>
      <c r="AJ513" s="81"/>
      <c r="AK513" s="81"/>
      <c r="AL513" s="81"/>
      <c r="AM513" s="81"/>
      <c r="AN513" s="81"/>
      <c r="AO513" s="81"/>
      <c r="AP513" s="81"/>
      <c r="AQ513" s="81"/>
      <c r="AR513" s="81"/>
      <c r="AS513" s="81"/>
      <c r="AT513" s="81"/>
      <c r="AU513" s="81"/>
      <c r="AV513" s="81"/>
      <c r="AW513" s="81"/>
      <c r="AX513" s="81"/>
      <c r="AY513" s="81"/>
      <c r="AZ513" s="81"/>
      <c r="BA513" s="81"/>
      <c r="BB513" s="81"/>
      <c r="BC513" s="81"/>
      <c r="BD513" s="81"/>
    </row>
    <row r="514" ht="15.0" customHeight="1">
      <c r="A514" s="81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  <c r="AB514" s="81"/>
      <c r="AC514" s="81"/>
      <c r="AD514" s="81"/>
      <c r="AE514" s="81"/>
      <c r="AF514" s="81"/>
      <c r="AG514" s="81"/>
      <c r="AH514" s="81"/>
      <c r="AI514" s="81"/>
      <c r="AJ514" s="81"/>
      <c r="AK514" s="81"/>
      <c r="AL514" s="81"/>
      <c r="AM514" s="81"/>
      <c r="AN514" s="81"/>
      <c r="AO514" s="81"/>
      <c r="AP514" s="81"/>
      <c r="AQ514" s="81"/>
      <c r="AR514" s="81"/>
      <c r="AS514" s="81"/>
      <c r="AT514" s="81"/>
      <c r="AU514" s="81"/>
      <c r="AV514" s="81"/>
      <c r="AW514" s="81"/>
      <c r="AX514" s="81"/>
      <c r="AY514" s="81"/>
      <c r="AZ514" s="81"/>
      <c r="BA514" s="81"/>
      <c r="BB514" s="81"/>
      <c r="BC514" s="81"/>
      <c r="BD514" s="81"/>
    </row>
    <row r="515" ht="15.0" customHeight="1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  <c r="AB515" s="81"/>
      <c r="AC515" s="81"/>
      <c r="AD515" s="81"/>
      <c r="AE515" s="81"/>
      <c r="AF515" s="81"/>
      <c r="AG515" s="81"/>
      <c r="AH515" s="81"/>
      <c r="AI515" s="81"/>
      <c r="AJ515" s="81"/>
      <c r="AK515" s="81"/>
      <c r="AL515" s="81"/>
      <c r="AM515" s="81"/>
      <c r="AN515" s="81"/>
      <c r="AO515" s="81"/>
      <c r="AP515" s="81"/>
      <c r="AQ515" s="81"/>
      <c r="AR515" s="81"/>
      <c r="AS515" s="81"/>
      <c r="AT515" s="81"/>
      <c r="AU515" s="81"/>
      <c r="AV515" s="81"/>
      <c r="AW515" s="81"/>
      <c r="AX515" s="81"/>
      <c r="AY515" s="81"/>
      <c r="AZ515" s="81"/>
      <c r="BA515" s="81"/>
      <c r="BB515" s="81"/>
      <c r="BC515" s="81"/>
      <c r="BD515" s="81"/>
    </row>
    <row r="516" ht="15.0" customHeight="1">
      <c r="A516" s="81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  <c r="AB516" s="81"/>
      <c r="AC516" s="81"/>
      <c r="AD516" s="81"/>
      <c r="AE516" s="81"/>
      <c r="AF516" s="81"/>
      <c r="AG516" s="81"/>
      <c r="AH516" s="81"/>
      <c r="AI516" s="81"/>
      <c r="AJ516" s="81"/>
      <c r="AK516" s="81"/>
      <c r="AL516" s="81"/>
      <c r="AM516" s="81"/>
      <c r="AN516" s="81"/>
      <c r="AO516" s="81"/>
      <c r="AP516" s="81"/>
      <c r="AQ516" s="81"/>
      <c r="AR516" s="81"/>
      <c r="AS516" s="81"/>
      <c r="AT516" s="81"/>
      <c r="AU516" s="81"/>
      <c r="AV516" s="81"/>
      <c r="AW516" s="81"/>
      <c r="AX516" s="81"/>
      <c r="AY516" s="81"/>
      <c r="AZ516" s="81"/>
      <c r="BA516" s="81"/>
      <c r="BB516" s="81"/>
      <c r="BC516" s="81"/>
      <c r="BD516" s="81"/>
    </row>
    <row r="517" ht="15.0" customHeight="1">
      <c r="A517" s="81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  <c r="AB517" s="81"/>
      <c r="AC517" s="81"/>
      <c r="AD517" s="81"/>
      <c r="AE517" s="81"/>
      <c r="AF517" s="81"/>
      <c r="AG517" s="81"/>
      <c r="AH517" s="81"/>
      <c r="AI517" s="81"/>
      <c r="AJ517" s="81"/>
      <c r="AK517" s="81"/>
      <c r="AL517" s="81"/>
      <c r="AM517" s="81"/>
      <c r="AN517" s="81"/>
      <c r="AO517" s="81"/>
      <c r="AP517" s="81"/>
      <c r="AQ517" s="81"/>
      <c r="AR517" s="81"/>
      <c r="AS517" s="81"/>
      <c r="AT517" s="81"/>
      <c r="AU517" s="81"/>
      <c r="AV517" s="81"/>
      <c r="AW517" s="81"/>
      <c r="AX517" s="81"/>
      <c r="AY517" s="81"/>
      <c r="AZ517" s="81"/>
      <c r="BA517" s="81"/>
      <c r="BB517" s="81"/>
      <c r="BC517" s="81"/>
      <c r="BD517" s="81"/>
    </row>
    <row r="518" ht="15.0" customHeight="1">
      <c r="A518" s="81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  <c r="AB518" s="81"/>
      <c r="AC518" s="81"/>
      <c r="AD518" s="81"/>
      <c r="AE518" s="81"/>
      <c r="AF518" s="81"/>
      <c r="AG518" s="81"/>
      <c r="AH518" s="81"/>
      <c r="AI518" s="81"/>
      <c r="AJ518" s="81"/>
      <c r="AK518" s="81"/>
      <c r="AL518" s="81"/>
      <c r="AM518" s="81"/>
      <c r="AN518" s="81"/>
      <c r="AO518" s="81"/>
      <c r="AP518" s="81"/>
      <c r="AQ518" s="81"/>
      <c r="AR518" s="81"/>
      <c r="AS518" s="81"/>
      <c r="AT518" s="81"/>
      <c r="AU518" s="81"/>
      <c r="AV518" s="81"/>
      <c r="AW518" s="81"/>
      <c r="AX518" s="81"/>
      <c r="AY518" s="81"/>
      <c r="AZ518" s="81"/>
      <c r="BA518" s="81"/>
      <c r="BB518" s="81"/>
      <c r="BC518" s="81"/>
      <c r="BD518" s="81"/>
    </row>
    <row r="519" ht="15.0" customHeight="1">
      <c r="A519" s="81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  <c r="AB519" s="81"/>
      <c r="AC519" s="81"/>
      <c r="AD519" s="81"/>
      <c r="AE519" s="81"/>
      <c r="AF519" s="81"/>
      <c r="AG519" s="81"/>
      <c r="AH519" s="81"/>
      <c r="AI519" s="81"/>
      <c r="AJ519" s="81"/>
      <c r="AK519" s="81"/>
      <c r="AL519" s="81"/>
      <c r="AM519" s="81"/>
      <c r="AN519" s="81"/>
      <c r="AO519" s="81"/>
      <c r="AP519" s="81"/>
      <c r="AQ519" s="81"/>
      <c r="AR519" s="81"/>
      <c r="AS519" s="81"/>
      <c r="AT519" s="81"/>
      <c r="AU519" s="81"/>
      <c r="AV519" s="81"/>
      <c r="AW519" s="81"/>
      <c r="AX519" s="81"/>
      <c r="AY519" s="81"/>
      <c r="AZ519" s="81"/>
      <c r="BA519" s="81"/>
      <c r="BB519" s="81"/>
      <c r="BC519" s="81"/>
      <c r="BD519" s="81"/>
    </row>
    <row r="520" ht="15.0" customHeight="1">
      <c r="A520" s="81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  <c r="AB520" s="81"/>
      <c r="AC520" s="81"/>
      <c r="AD520" s="81"/>
      <c r="AE520" s="81"/>
      <c r="AF520" s="81"/>
      <c r="AG520" s="81"/>
      <c r="AH520" s="81"/>
      <c r="AI520" s="81"/>
      <c r="AJ520" s="81"/>
      <c r="AK520" s="81"/>
      <c r="AL520" s="81"/>
      <c r="AM520" s="81"/>
      <c r="AN520" s="81"/>
      <c r="AO520" s="81"/>
      <c r="AP520" s="81"/>
      <c r="AQ520" s="81"/>
      <c r="AR520" s="81"/>
      <c r="AS520" s="81"/>
      <c r="AT520" s="81"/>
      <c r="AU520" s="81"/>
      <c r="AV520" s="81"/>
      <c r="AW520" s="81"/>
      <c r="AX520" s="81"/>
      <c r="AY520" s="81"/>
      <c r="AZ520" s="81"/>
      <c r="BA520" s="81"/>
      <c r="BB520" s="81"/>
      <c r="BC520" s="81"/>
      <c r="BD520" s="81"/>
    </row>
    <row r="521" ht="15.0" customHeight="1">
      <c r="A521" s="81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  <c r="AB521" s="81"/>
      <c r="AC521" s="81"/>
      <c r="AD521" s="81"/>
      <c r="AE521" s="81"/>
      <c r="AF521" s="81"/>
      <c r="AG521" s="81"/>
      <c r="AH521" s="81"/>
      <c r="AI521" s="81"/>
      <c r="AJ521" s="81"/>
      <c r="AK521" s="81"/>
      <c r="AL521" s="81"/>
      <c r="AM521" s="81"/>
      <c r="AN521" s="81"/>
      <c r="AO521" s="81"/>
      <c r="AP521" s="81"/>
      <c r="AQ521" s="81"/>
      <c r="AR521" s="81"/>
      <c r="AS521" s="81"/>
      <c r="AT521" s="81"/>
      <c r="AU521" s="81"/>
      <c r="AV521" s="81"/>
      <c r="AW521" s="81"/>
      <c r="AX521" s="81"/>
      <c r="AY521" s="81"/>
      <c r="AZ521" s="81"/>
      <c r="BA521" s="81"/>
      <c r="BB521" s="81"/>
      <c r="BC521" s="81"/>
      <c r="BD521" s="81"/>
    </row>
    <row r="522" ht="15.0" customHeight="1">
      <c r="A522" s="81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  <c r="AB522" s="81"/>
      <c r="AC522" s="81"/>
      <c r="AD522" s="81"/>
      <c r="AE522" s="81"/>
      <c r="AF522" s="81"/>
      <c r="AG522" s="81"/>
      <c r="AH522" s="81"/>
      <c r="AI522" s="81"/>
      <c r="AJ522" s="81"/>
      <c r="AK522" s="81"/>
      <c r="AL522" s="81"/>
      <c r="AM522" s="81"/>
      <c r="AN522" s="81"/>
      <c r="AO522" s="81"/>
      <c r="AP522" s="81"/>
      <c r="AQ522" s="81"/>
      <c r="AR522" s="81"/>
      <c r="AS522" s="81"/>
      <c r="AT522" s="81"/>
      <c r="AU522" s="81"/>
      <c r="AV522" s="81"/>
      <c r="AW522" s="81"/>
      <c r="AX522" s="81"/>
      <c r="AY522" s="81"/>
      <c r="AZ522" s="81"/>
      <c r="BA522" s="81"/>
      <c r="BB522" s="81"/>
      <c r="BC522" s="81"/>
      <c r="BD522" s="81"/>
    </row>
    <row r="523" ht="15.0" customHeight="1">
      <c r="A523" s="81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  <c r="AB523" s="81"/>
      <c r="AC523" s="81"/>
      <c r="AD523" s="81"/>
      <c r="AE523" s="81"/>
      <c r="AF523" s="81"/>
      <c r="AG523" s="81"/>
      <c r="AH523" s="81"/>
      <c r="AI523" s="81"/>
      <c r="AJ523" s="81"/>
      <c r="AK523" s="81"/>
      <c r="AL523" s="81"/>
      <c r="AM523" s="81"/>
      <c r="AN523" s="81"/>
      <c r="AO523" s="81"/>
      <c r="AP523" s="81"/>
      <c r="AQ523" s="81"/>
      <c r="AR523" s="81"/>
      <c r="AS523" s="81"/>
      <c r="AT523" s="81"/>
      <c r="AU523" s="81"/>
      <c r="AV523" s="81"/>
      <c r="AW523" s="81"/>
      <c r="AX523" s="81"/>
      <c r="AY523" s="81"/>
      <c r="AZ523" s="81"/>
      <c r="BA523" s="81"/>
      <c r="BB523" s="81"/>
      <c r="BC523" s="81"/>
      <c r="BD523" s="81"/>
    </row>
    <row r="524" ht="15.0" customHeight="1">
      <c r="A524" s="81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  <c r="AB524" s="81"/>
      <c r="AC524" s="81"/>
      <c r="AD524" s="81"/>
      <c r="AE524" s="81"/>
      <c r="AF524" s="81"/>
      <c r="AG524" s="81"/>
      <c r="AH524" s="81"/>
      <c r="AI524" s="81"/>
      <c r="AJ524" s="81"/>
      <c r="AK524" s="81"/>
      <c r="AL524" s="81"/>
      <c r="AM524" s="81"/>
      <c r="AN524" s="81"/>
      <c r="AO524" s="81"/>
      <c r="AP524" s="81"/>
      <c r="AQ524" s="81"/>
      <c r="AR524" s="81"/>
      <c r="AS524" s="81"/>
      <c r="AT524" s="81"/>
      <c r="AU524" s="81"/>
      <c r="AV524" s="81"/>
      <c r="AW524" s="81"/>
      <c r="AX524" s="81"/>
      <c r="AY524" s="81"/>
      <c r="AZ524" s="81"/>
      <c r="BA524" s="81"/>
      <c r="BB524" s="81"/>
      <c r="BC524" s="81"/>
      <c r="BD524" s="81"/>
    </row>
    <row r="525" ht="15.0" customHeight="1">
      <c r="A525" s="81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  <c r="AB525" s="81"/>
      <c r="AC525" s="81"/>
      <c r="AD525" s="81"/>
      <c r="AE525" s="81"/>
      <c r="AF525" s="81"/>
      <c r="AG525" s="81"/>
      <c r="AH525" s="81"/>
      <c r="AI525" s="81"/>
      <c r="AJ525" s="81"/>
      <c r="AK525" s="81"/>
      <c r="AL525" s="81"/>
      <c r="AM525" s="81"/>
      <c r="AN525" s="81"/>
      <c r="AO525" s="81"/>
      <c r="AP525" s="81"/>
      <c r="AQ525" s="81"/>
      <c r="AR525" s="81"/>
      <c r="AS525" s="81"/>
      <c r="AT525" s="81"/>
      <c r="AU525" s="81"/>
      <c r="AV525" s="81"/>
      <c r="AW525" s="81"/>
      <c r="AX525" s="81"/>
      <c r="AY525" s="81"/>
      <c r="AZ525" s="81"/>
      <c r="BA525" s="81"/>
      <c r="BB525" s="81"/>
      <c r="BC525" s="81"/>
      <c r="BD525" s="81"/>
    </row>
    <row r="526" ht="15.0" customHeight="1">
      <c r="A526" s="81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  <c r="AB526" s="81"/>
      <c r="AC526" s="81"/>
      <c r="AD526" s="81"/>
      <c r="AE526" s="81"/>
      <c r="AF526" s="81"/>
      <c r="AG526" s="81"/>
      <c r="AH526" s="81"/>
      <c r="AI526" s="81"/>
      <c r="AJ526" s="81"/>
      <c r="AK526" s="81"/>
      <c r="AL526" s="81"/>
      <c r="AM526" s="81"/>
      <c r="AN526" s="81"/>
      <c r="AO526" s="81"/>
      <c r="AP526" s="81"/>
      <c r="AQ526" s="81"/>
      <c r="AR526" s="81"/>
      <c r="AS526" s="81"/>
      <c r="AT526" s="81"/>
      <c r="AU526" s="81"/>
      <c r="AV526" s="81"/>
      <c r="AW526" s="81"/>
      <c r="AX526" s="81"/>
      <c r="AY526" s="81"/>
      <c r="AZ526" s="81"/>
      <c r="BA526" s="81"/>
      <c r="BB526" s="81"/>
      <c r="BC526" s="81"/>
      <c r="BD526" s="81"/>
    </row>
    <row r="527" ht="15.0" customHeight="1">
      <c r="A527" s="81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  <c r="AB527" s="81"/>
      <c r="AC527" s="81"/>
      <c r="AD527" s="81"/>
      <c r="AE527" s="81"/>
      <c r="AF527" s="81"/>
      <c r="AG527" s="81"/>
      <c r="AH527" s="81"/>
      <c r="AI527" s="81"/>
      <c r="AJ527" s="81"/>
      <c r="AK527" s="81"/>
      <c r="AL527" s="81"/>
      <c r="AM527" s="81"/>
      <c r="AN527" s="81"/>
      <c r="AO527" s="81"/>
      <c r="AP527" s="81"/>
      <c r="AQ527" s="81"/>
      <c r="AR527" s="81"/>
      <c r="AS527" s="81"/>
      <c r="AT527" s="81"/>
      <c r="AU527" s="81"/>
      <c r="AV527" s="81"/>
      <c r="AW527" s="81"/>
      <c r="AX527" s="81"/>
      <c r="AY527" s="81"/>
      <c r="AZ527" s="81"/>
      <c r="BA527" s="81"/>
      <c r="BB527" s="81"/>
      <c r="BC527" s="81"/>
      <c r="BD527" s="81"/>
    </row>
    <row r="528" ht="15.0" customHeight="1">
      <c r="A528" s="81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  <c r="AB528" s="81"/>
      <c r="AC528" s="81"/>
      <c r="AD528" s="81"/>
      <c r="AE528" s="81"/>
      <c r="AF528" s="81"/>
      <c r="AG528" s="81"/>
      <c r="AH528" s="81"/>
      <c r="AI528" s="81"/>
      <c r="AJ528" s="81"/>
      <c r="AK528" s="81"/>
      <c r="AL528" s="81"/>
      <c r="AM528" s="81"/>
      <c r="AN528" s="81"/>
      <c r="AO528" s="81"/>
      <c r="AP528" s="81"/>
      <c r="AQ528" s="81"/>
      <c r="AR528" s="81"/>
      <c r="AS528" s="81"/>
      <c r="AT528" s="81"/>
      <c r="AU528" s="81"/>
      <c r="AV528" s="81"/>
      <c r="AW528" s="81"/>
      <c r="AX528" s="81"/>
      <c r="AY528" s="81"/>
      <c r="AZ528" s="81"/>
      <c r="BA528" s="81"/>
      <c r="BB528" s="81"/>
      <c r="BC528" s="81"/>
      <c r="BD528" s="81"/>
    </row>
    <row r="529" ht="15.0" customHeight="1">
      <c r="A529" s="81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  <c r="AB529" s="81"/>
      <c r="AC529" s="81"/>
      <c r="AD529" s="81"/>
      <c r="AE529" s="81"/>
      <c r="AF529" s="81"/>
      <c r="AG529" s="81"/>
      <c r="AH529" s="81"/>
      <c r="AI529" s="81"/>
      <c r="AJ529" s="81"/>
      <c r="AK529" s="81"/>
      <c r="AL529" s="81"/>
      <c r="AM529" s="81"/>
      <c r="AN529" s="81"/>
      <c r="AO529" s="81"/>
      <c r="AP529" s="81"/>
      <c r="AQ529" s="81"/>
      <c r="AR529" s="81"/>
      <c r="AS529" s="81"/>
      <c r="AT529" s="81"/>
      <c r="AU529" s="81"/>
      <c r="AV529" s="81"/>
      <c r="AW529" s="81"/>
      <c r="AX529" s="81"/>
      <c r="AY529" s="81"/>
      <c r="AZ529" s="81"/>
      <c r="BA529" s="81"/>
      <c r="BB529" s="81"/>
      <c r="BC529" s="81"/>
      <c r="BD529" s="81"/>
    </row>
    <row r="530" ht="15.0" customHeight="1">
      <c r="A530" s="81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  <c r="AB530" s="81"/>
      <c r="AC530" s="81"/>
      <c r="AD530" s="81"/>
      <c r="AE530" s="81"/>
      <c r="AF530" s="81"/>
      <c r="AG530" s="81"/>
      <c r="AH530" s="81"/>
      <c r="AI530" s="81"/>
      <c r="AJ530" s="81"/>
      <c r="AK530" s="81"/>
      <c r="AL530" s="81"/>
      <c r="AM530" s="81"/>
      <c r="AN530" s="81"/>
      <c r="AO530" s="81"/>
      <c r="AP530" s="81"/>
      <c r="AQ530" s="81"/>
      <c r="AR530" s="81"/>
      <c r="AS530" s="81"/>
      <c r="AT530" s="81"/>
      <c r="AU530" s="81"/>
      <c r="AV530" s="81"/>
      <c r="AW530" s="81"/>
      <c r="AX530" s="81"/>
      <c r="AY530" s="81"/>
      <c r="AZ530" s="81"/>
      <c r="BA530" s="81"/>
      <c r="BB530" s="81"/>
      <c r="BC530" s="81"/>
      <c r="BD530" s="81"/>
    </row>
    <row r="531" ht="15.0" customHeight="1">
      <c r="A531" s="81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  <c r="AB531" s="81"/>
      <c r="AC531" s="81"/>
      <c r="AD531" s="81"/>
      <c r="AE531" s="81"/>
      <c r="AF531" s="81"/>
      <c r="AG531" s="81"/>
      <c r="AH531" s="81"/>
      <c r="AI531" s="81"/>
      <c r="AJ531" s="81"/>
      <c r="AK531" s="81"/>
      <c r="AL531" s="81"/>
      <c r="AM531" s="81"/>
      <c r="AN531" s="81"/>
      <c r="AO531" s="81"/>
      <c r="AP531" s="81"/>
      <c r="AQ531" s="81"/>
      <c r="AR531" s="81"/>
      <c r="AS531" s="81"/>
      <c r="AT531" s="81"/>
      <c r="AU531" s="81"/>
      <c r="AV531" s="81"/>
      <c r="AW531" s="81"/>
      <c r="AX531" s="81"/>
      <c r="AY531" s="81"/>
      <c r="AZ531" s="81"/>
      <c r="BA531" s="81"/>
      <c r="BB531" s="81"/>
      <c r="BC531" s="81"/>
      <c r="BD531" s="81"/>
    </row>
    <row r="532" ht="15.0" customHeight="1">
      <c r="A532" s="81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  <c r="AB532" s="81"/>
      <c r="AC532" s="81"/>
      <c r="AD532" s="81"/>
      <c r="AE532" s="81"/>
      <c r="AF532" s="81"/>
      <c r="AG532" s="81"/>
      <c r="AH532" s="81"/>
      <c r="AI532" s="81"/>
      <c r="AJ532" s="81"/>
      <c r="AK532" s="81"/>
      <c r="AL532" s="81"/>
      <c r="AM532" s="81"/>
      <c r="AN532" s="81"/>
      <c r="AO532" s="81"/>
      <c r="AP532" s="81"/>
      <c r="AQ532" s="81"/>
      <c r="AR532" s="81"/>
      <c r="AS532" s="81"/>
      <c r="AT532" s="81"/>
      <c r="AU532" s="81"/>
      <c r="AV532" s="81"/>
      <c r="AW532" s="81"/>
      <c r="AX532" s="81"/>
      <c r="AY532" s="81"/>
      <c r="AZ532" s="81"/>
      <c r="BA532" s="81"/>
      <c r="BB532" s="81"/>
      <c r="BC532" s="81"/>
      <c r="BD532" s="81"/>
    </row>
    <row r="533" ht="15.0" customHeight="1">
      <c r="A533" s="81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  <c r="AB533" s="81"/>
      <c r="AC533" s="81"/>
      <c r="AD533" s="81"/>
      <c r="AE533" s="81"/>
      <c r="AF533" s="81"/>
      <c r="AG533" s="81"/>
      <c r="AH533" s="81"/>
      <c r="AI533" s="81"/>
      <c r="AJ533" s="81"/>
      <c r="AK533" s="81"/>
      <c r="AL533" s="81"/>
      <c r="AM533" s="81"/>
      <c r="AN533" s="81"/>
      <c r="AO533" s="81"/>
      <c r="AP533" s="81"/>
      <c r="AQ533" s="81"/>
      <c r="AR533" s="81"/>
      <c r="AS533" s="81"/>
      <c r="AT533" s="81"/>
      <c r="AU533" s="81"/>
      <c r="AV533" s="81"/>
      <c r="AW533" s="81"/>
      <c r="AX533" s="81"/>
      <c r="AY533" s="81"/>
      <c r="AZ533" s="81"/>
      <c r="BA533" s="81"/>
      <c r="BB533" s="81"/>
      <c r="BC533" s="81"/>
      <c r="BD533" s="81"/>
    </row>
    <row r="534" ht="15.0" customHeight="1">
      <c r="A534" s="81"/>
      <c r="B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  <c r="AA534" s="81"/>
      <c r="AB534" s="81"/>
      <c r="AC534" s="81"/>
      <c r="AD534" s="81"/>
      <c r="AE534" s="81"/>
      <c r="AF534" s="81"/>
      <c r="AG534" s="81"/>
      <c r="AH534" s="81"/>
      <c r="AI534" s="81"/>
      <c r="AJ534" s="81"/>
      <c r="AK534" s="81"/>
      <c r="AL534" s="81"/>
      <c r="AM534" s="81"/>
      <c r="AN534" s="81"/>
      <c r="AO534" s="81"/>
      <c r="AP534" s="81"/>
      <c r="AQ534" s="81"/>
      <c r="AR534" s="81"/>
      <c r="AS534" s="81"/>
      <c r="AT534" s="81"/>
      <c r="AU534" s="81"/>
      <c r="AV534" s="81"/>
      <c r="AW534" s="81"/>
      <c r="AX534" s="81"/>
      <c r="AY534" s="81"/>
      <c r="AZ534" s="81"/>
      <c r="BA534" s="81"/>
      <c r="BB534" s="81"/>
      <c r="BC534" s="81"/>
      <c r="BD534" s="81"/>
    </row>
    <row r="535" ht="15.0" customHeight="1">
      <c r="A535" s="81"/>
      <c r="B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  <c r="AA535" s="81"/>
      <c r="AB535" s="81"/>
      <c r="AC535" s="81"/>
      <c r="AD535" s="81"/>
      <c r="AE535" s="81"/>
      <c r="AF535" s="81"/>
      <c r="AG535" s="81"/>
      <c r="AH535" s="81"/>
      <c r="AI535" s="81"/>
      <c r="AJ535" s="81"/>
      <c r="AK535" s="81"/>
      <c r="AL535" s="81"/>
      <c r="AM535" s="81"/>
      <c r="AN535" s="81"/>
      <c r="AO535" s="81"/>
      <c r="AP535" s="81"/>
      <c r="AQ535" s="81"/>
      <c r="AR535" s="81"/>
      <c r="AS535" s="81"/>
      <c r="AT535" s="81"/>
      <c r="AU535" s="81"/>
      <c r="AV535" s="81"/>
      <c r="AW535" s="81"/>
      <c r="AX535" s="81"/>
      <c r="AY535" s="81"/>
      <c r="AZ535" s="81"/>
      <c r="BA535" s="81"/>
      <c r="BB535" s="81"/>
      <c r="BC535" s="81"/>
      <c r="BD535" s="81"/>
    </row>
    <row r="536" ht="15.0" customHeight="1">
      <c r="A536" s="81"/>
      <c r="B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  <c r="AB536" s="81"/>
      <c r="AC536" s="81"/>
      <c r="AD536" s="81"/>
      <c r="AE536" s="81"/>
      <c r="AF536" s="81"/>
      <c r="AG536" s="81"/>
      <c r="AH536" s="81"/>
      <c r="AI536" s="81"/>
      <c r="AJ536" s="81"/>
      <c r="AK536" s="81"/>
      <c r="AL536" s="81"/>
      <c r="AM536" s="81"/>
      <c r="AN536" s="81"/>
      <c r="AO536" s="81"/>
      <c r="AP536" s="81"/>
      <c r="AQ536" s="81"/>
      <c r="AR536" s="81"/>
      <c r="AS536" s="81"/>
      <c r="AT536" s="81"/>
      <c r="AU536" s="81"/>
      <c r="AV536" s="81"/>
      <c r="AW536" s="81"/>
      <c r="AX536" s="81"/>
      <c r="AY536" s="81"/>
      <c r="AZ536" s="81"/>
      <c r="BA536" s="81"/>
      <c r="BB536" s="81"/>
      <c r="BC536" s="81"/>
      <c r="BD536" s="81"/>
    </row>
  </sheetData>
  <mergeCells count="292">
    <mergeCell ref="AD5:AE5"/>
    <mergeCell ref="AF5:AH5"/>
    <mergeCell ref="AF6:AH6"/>
    <mergeCell ref="AI6:AJ6"/>
    <mergeCell ref="AI5:AJ5"/>
    <mergeCell ref="AK5:AN5"/>
    <mergeCell ref="AK6:AN6"/>
    <mergeCell ref="AO5:AT5"/>
    <mergeCell ref="AU5:AV5"/>
    <mergeCell ref="AO6:AT6"/>
    <mergeCell ref="AU6:AV6"/>
    <mergeCell ref="AX6:AY6"/>
    <mergeCell ref="AZ6:BA6"/>
    <mergeCell ref="BB6:BC6"/>
    <mergeCell ref="H1:AO3"/>
    <mergeCell ref="AX2:BC3"/>
    <mergeCell ref="B4:AU4"/>
    <mergeCell ref="E5:G5"/>
    <mergeCell ref="H5:Q5"/>
    <mergeCell ref="R5:AC5"/>
    <mergeCell ref="AX5:BC5"/>
    <mergeCell ref="AX7:AY7"/>
    <mergeCell ref="AZ7:BA7"/>
    <mergeCell ref="BB7:BC7"/>
    <mergeCell ref="R7:AC7"/>
    <mergeCell ref="AD7:AE7"/>
    <mergeCell ref="AF7:AH7"/>
    <mergeCell ref="AI7:AJ7"/>
    <mergeCell ref="AK7:AN7"/>
    <mergeCell ref="AO7:AT7"/>
    <mergeCell ref="AU7:AV7"/>
    <mergeCell ref="AF8:AH8"/>
    <mergeCell ref="AI8:AJ8"/>
    <mergeCell ref="AK8:AN8"/>
    <mergeCell ref="AO8:AT8"/>
    <mergeCell ref="AU8:AV8"/>
    <mergeCell ref="AX8:AY8"/>
    <mergeCell ref="AZ8:BA8"/>
    <mergeCell ref="BB8:BC8"/>
    <mergeCell ref="B5:D5"/>
    <mergeCell ref="B6:D6"/>
    <mergeCell ref="E6:G6"/>
    <mergeCell ref="H6:Q6"/>
    <mergeCell ref="R6:AC6"/>
    <mergeCell ref="AD6:AE6"/>
    <mergeCell ref="B7:D7"/>
    <mergeCell ref="E7:G7"/>
    <mergeCell ref="H7:Q7"/>
    <mergeCell ref="B8:D8"/>
    <mergeCell ref="E8:G8"/>
    <mergeCell ref="H8:Q8"/>
    <mergeCell ref="R8:AC8"/>
    <mergeCell ref="AD8:AE8"/>
    <mergeCell ref="AK9:AN9"/>
    <mergeCell ref="AO9:AT9"/>
    <mergeCell ref="AU9:AV9"/>
    <mergeCell ref="AX9:AY9"/>
    <mergeCell ref="AZ9:BA9"/>
    <mergeCell ref="BB9:BC9"/>
    <mergeCell ref="B9:D9"/>
    <mergeCell ref="E9:G9"/>
    <mergeCell ref="H9:Q9"/>
    <mergeCell ref="R9:AC9"/>
    <mergeCell ref="AD9:AE9"/>
    <mergeCell ref="AF9:AH9"/>
    <mergeCell ref="AI9:AJ9"/>
    <mergeCell ref="AK10:AN10"/>
    <mergeCell ref="AO10:AT10"/>
    <mergeCell ref="AU10:AV10"/>
    <mergeCell ref="B10:D10"/>
    <mergeCell ref="E10:G10"/>
    <mergeCell ref="H10:Q10"/>
    <mergeCell ref="R10:AC10"/>
    <mergeCell ref="AD10:AE10"/>
    <mergeCell ref="AF10:AH10"/>
    <mergeCell ref="AI10:AJ10"/>
    <mergeCell ref="B17:D17"/>
    <mergeCell ref="E17:G17"/>
    <mergeCell ref="H17:Q17"/>
    <mergeCell ref="R17:AC17"/>
    <mergeCell ref="AD17:AE17"/>
    <mergeCell ref="AF17:AH17"/>
    <mergeCell ref="AI17:AJ17"/>
    <mergeCell ref="AO26:AV26"/>
    <mergeCell ref="AX26:AY26"/>
    <mergeCell ref="AZ26:BA26"/>
    <mergeCell ref="BB26:BC26"/>
    <mergeCell ref="B26:D26"/>
    <mergeCell ref="E26:L26"/>
    <mergeCell ref="N26:P26"/>
    <mergeCell ref="Q26:X26"/>
    <mergeCell ref="Z26:AB26"/>
    <mergeCell ref="AC26:AJ26"/>
    <mergeCell ref="AL26:AN26"/>
    <mergeCell ref="B28:X28"/>
    <mergeCell ref="Z28:AB28"/>
    <mergeCell ref="AC28:AD28"/>
    <mergeCell ref="AE28:AG28"/>
    <mergeCell ref="AH28:AJ28"/>
    <mergeCell ref="AK28:AM28"/>
    <mergeCell ref="AN28:BC28"/>
    <mergeCell ref="E29:X29"/>
    <mergeCell ref="Z29:AB29"/>
    <mergeCell ref="AC29:AD29"/>
    <mergeCell ref="AE29:AG29"/>
    <mergeCell ref="AH29:AJ29"/>
    <mergeCell ref="AK29:AM29"/>
    <mergeCell ref="AN29:BC29"/>
    <mergeCell ref="B29:D29"/>
    <mergeCell ref="B30:D30"/>
    <mergeCell ref="E30:X30"/>
    <mergeCell ref="Z30:AB30"/>
    <mergeCell ref="AC30:AD30"/>
    <mergeCell ref="AE30:AG30"/>
    <mergeCell ref="AH30:AJ30"/>
    <mergeCell ref="E31:X31"/>
    <mergeCell ref="Z31:AB31"/>
    <mergeCell ref="AC31:AD31"/>
    <mergeCell ref="AE31:AG31"/>
    <mergeCell ref="AH31:AJ31"/>
    <mergeCell ref="AK31:AM31"/>
    <mergeCell ref="AN31:BC31"/>
    <mergeCell ref="AK32:AM32"/>
    <mergeCell ref="AN32:BC32"/>
    <mergeCell ref="B31:D31"/>
    <mergeCell ref="B32:D32"/>
    <mergeCell ref="E32:X32"/>
    <mergeCell ref="Z32:AB32"/>
    <mergeCell ref="AC32:AD32"/>
    <mergeCell ref="AE32:AG32"/>
    <mergeCell ref="AH32:AJ32"/>
    <mergeCell ref="E33:X33"/>
    <mergeCell ref="Z33:AB33"/>
    <mergeCell ref="AC33:AD33"/>
    <mergeCell ref="AE33:AG33"/>
    <mergeCell ref="AH33:AJ33"/>
    <mergeCell ref="AK33:AM33"/>
    <mergeCell ref="AN33:BC33"/>
    <mergeCell ref="AK34:AM34"/>
    <mergeCell ref="AN34:BC34"/>
    <mergeCell ref="B33:D33"/>
    <mergeCell ref="B34:D34"/>
    <mergeCell ref="E34:X34"/>
    <mergeCell ref="Z34:AB34"/>
    <mergeCell ref="AC34:AD34"/>
    <mergeCell ref="AE34:AG34"/>
    <mergeCell ref="AH34:AJ34"/>
    <mergeCell ref="AO23:AV23"/>
    <mergeCell ref="AX23:AY23"/>
    <mergeCell ref="AZ23:BA23"/>
    <mergeCell ref="BB23:BC23"/>
    <mergeCell ref="B23:D23"/>
    <mergeCell ref="E23:L23"/>
    <mergeCell ref="N23:P23"/>
    <mergeCell ref="Q23:X23"/>
    <mergeCell ref="Z23:AB23"/>
    <mergeCell ref="AC23:AJ23"/>
    <mergeCell ref="AL23:AN23"/>
    <mergeCell ref="AO24:AV24"/>
    <mergeCell ref="AX24:AY24"/>
    <mergeCell ref="AZ24:BA24"/>
    <mergeCell ref="BB24:BC24"/>
    <mergeCell ref="B24:D24"/>
    <mergeCell ref="E24:L24"/>
    <mergeCell ref="N24:P24"/>
    <mergeCell ref="Q24:X24"/>
    <mergeCell ref="Z24:AB24"/>
    <mergeCell ref="AC24:AJ24"/>
    <mergeCell ref="AL24:AN24"/>
    <mergeCell ref="AO25:AV25"/>
    <mergeCell ref="AX25:AY25"/>
    <mergeCell ref="AZ25:BA25"/>
    <mergeCell ref="BB25:BC25"/>
    <mergeCell ref="B25:D25"/>
    <mergeCell ref="E25:L25"/>
    <mergeCell ref="N25:P25"/>
    <mergeCell ref="Q25:X25"/>
    <mergeCell ref="Z25:AB25"/>
    <mergeCell ref="AC25:AJ25"/>
    <mergeCell ref="AL25:AN25"/>
    <mergeCell ref="AK30:AM30"/>
    <mergeCell ref="AN30:BC30"/>
    <mergeCell ref="AK11:AN11"/>
    <mergeCell ref="AO11:AT11"/>
    <mergeCell ref="AU11:AV11"/>
    <mergeCell ref="AX11:BC11"/>
    <mergeCell ref="B11:D11"/>
    <mergeCell ref="E11:G11"/>
    <mergeCell ref="H11:Q11"/>
    <mergeCell ref="R11:AC11"/>
    <mergeCell ref="AD11:AE11"/>
    <mergeCell ref="AF11:AH11"/>
    <mergeCell ref="AI11:AJ11"/>
    <mergeCell ref="R13:AC13"/>
    <mergeCell ref="AD13:AE13"/>
    <mergeCell ref="AK13:AN13"/>
    <mergeCell ref="AO13:AT13"/>
    <mergeCell ref="AX12:AY12"/>
    <mergeCell ref="AX13:AY13"/>
    <mergeCell ref="B12:AU12"/>
    <mergeCell ref="AZ12:BA12"/>
    <mergeCell ref="BB12:BC12"/>
    <mergeCell ref="B13:D13"/>
    <mergeCell ref="E13:G13"/>
    <mergeCell ref="H13:Q13"/>
    <mergeCell ref="AU13:AV13"/>
    <mergeCell ref="AZ13:BA13"/>
    <mergeCell ref="AI14:AJ14"/>
    <mergeCell ref="AK14:AN14"/>
    <mergeCell ref="AO14:AT14"/>
    <mergeCell ref="AU14:AV14"/>
    <mergeCell ref="AX14:AY14"/>
    <mergeCell ref="AZ14:BA14"/>
    <mergeCell ref="AF13:AH13"/>
    <mergeCell ref="AI13:AJ13"/>
    <mergeCell ref="BB13:BC14"/>
    <mergeCell ref="B14:D14"/>
    <mergeCell ref="E14:G14"/>
    <mergeCell ref="H14:Q14"/>
    <mergeCell ref="R14:AC14"/>
    <mergeCell ref="AF15:AH15"/>
    <mergeCell ref="AI15:AJ15"/>
    <mergeCell ref="AK15:AN15"/>
    <mergeCell ref="AO15:AT15"/>
    <mergeCell ref="AU15:AV15"/>
    <mergeCell ref="AD14:AE14"/>
    <mergeCell ref="AF14:AH14"/>
    <mergeCell ref="B15:D15"/>
    <mergeCell ref="E15:G15"/>
    <mergeCell ref="H15:Q15"/>
    <mergeCell ref="R15:AC15"/>
    <mergeCell ref="AD15:AE15"/>
    <mergeCell ref="AK16:AN16"/>
    <mergeCell ref="AO16:AT16"/>
    <mergeCell ref="AU16:AV16"/>
    <mergeCell ref="AX16:BC16"/>
    <mergeCell ref="B16:D16"/>
    <mergeCell ref="E16:G16"/>
    <mergeCell ref="H16:Q16"/>
    <mergeCell ref="R16:AC16"/>
    <mergeCell ref="AD16:AE16"/>
    <mergeCell ref="AF16:AH16"/>
    <mergeCell ref="AI16:AJ16"/>
    <mergeCell ref="AZ18:BA18"/>
    <mergeCell ref="BB18:BC18"/>
    <mergeCell ref="AK17:AN17"/>
    <mergeCell ref="AO17:AT17"/>
    <mergeCell ref="AU17:AV17"/>
    <mergeCell ref="AX17:AY17"/>
    <mergeCell ref="AZ17:BA17"/>
    <mergeCell ref="BB17:BC17"/>
    <mergeCell ref="AX18:AY18"/>
    <mergeCell ref="B19:L19"/>
    <mergeCell ref="N19:X19"/>
    <mergeCell ref="Z19:AJ19"/>
    <mergeCell ref="AL19:AV19"/>
    <mergeCell ref="AX19:AY19"/>
    <mergeCell ref="AZ19:BA19"/>
    <mergeCell ref="BB19:BC19"/>
    <mergeCell ref="AO20:AV20"/>
    <mergeCell ref="AX20:AY20"/>
    <mergeCell ref="AZ20:BA20"/>
    <mergeCell ref="BB20:BC20"/>
    <mergeCell ref="B20:D20"/>
    <mergeCell ref="E20:L20"/>
    <mergeCell ref="N20:P20"/>
    <mergeCell ref="Q20:X20"/>
    <mergeCell ref="Z20:AB20"/>
    <mergeCell ref="AC20:AJ20"/>
    <mergeCell ref="AL20:AN20"/>
    <mergeCell ref="AO21:AV21"/>
    <mergeCell ref="AX21:AY21"/>
    <mergeCell ref="AZ21:BA21"/>
    <mergeCell ref="BB21:BC21"/>
    <mergeCell ref="B21:D21"/>
    <mergeCell ref="E21:L21"/>
    <mergeCell ref="N21:P21"/>
    <mergeCell ref="Q21:X21"/>
    <mergeCell ref="Z21:AB21"/>
    <mergeCell ref="AC21:AJ21"/>
    <mergeCell ref="AL21:AN21"/>
    <mergeCell ref="AO22:AV22"/>
    <mergeCell ref="AX22:AY22"/>
    <mergeCell ref="AZ22:BA22"/>
    <mergeCell ref="BB22:BC22"/>
    <mergeCell ref="B22:D22"/>
    <mergeCell ref="E22:L22"/>
    <mergeCell ref="N22:P22"/>
    <mergeCell ref="Q22:X22"/>
    <mergeCell ref="Z22:AB22"/>
    <mergeCell ref="AC22:AJ22"/>
    <mergeCell ref="AL22:AN22"/>
  </mergeCells>
  <conditionalFormatting sqref="B6:D11 B13:D17">
    <cfRule type="timePeriod" dxfId="3" priority="1" timePeriod="today"/>
  </conditionalFormatting>
  <conditionalFormatting sqref="B6:D11 B13:D17">
    <cfRule type="expression" dxfId="4" priority="2">
      <formula>AND(ISNUMBER(B6),TRUNC(B6)&gt;TODAY())</formula>
    </cfRule>
  </conditionalFormatting>
  <dataValidations>
    <dataValidation type="list" allowBlank="1" showErrorMessage="1" sqref="AK6:AK11 AK13:AK17">
      <formula1>"FAB 2303,FAB 2312,FAB 2317,FAB 2318,FAB 2319,FAB 2330,FAB 2335,FAB 2345,FAB 2347,FAB 2299,SML,FAB 2017,FAB 2020,FAB 2719,FAB 2722,FAB 2728,FAB 2729"</formula1>
    </dataValidation>
    <dataValidation type="list" allowBlank="1" showErrorMessage="1" sqref="AO6:AO11 AO13:AO17">
      <formula1>"AGD OFRAG,PROGRAMADA,EM EXECUÇÃO,ABORTIVA,REALIZADO"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5"/>
    <col customWidth="1" min="2" max="2" width="10.75"/>
    <col customWidth="1" min="3" max="3" width="16.38"/>
    <col customWidth="1" min="4" max="4" width="14.0"/>
    <col customWidth="1" min="5" max="6" width="16.63"/>
    <col customWidth="1" min="7" max="7" width="14.0"/>
    <col customWidth="1" min="8" max="8" width="26.13"/>
    <col customWidth="1" min="9" max="9" width="52.5"/>
    <col customWidth="1" min="10" max="10" width="3.5"/>
    <col hidden="1" min="11" max="25" width="12.63"/>
  </cols>
  <sheetData>
    <row r="1" ht="65.25" customHeight="1">
      <c r="A1" s="81"/>
      <c r="B1" s="81"/>
      <c r="C1" s="190" t="s">
        <v>2343</v>
      </c>
      <c r="J1" s="81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</row>
    <row r="2">
      <c r="A2" s="81"/>
      <c r="B2" s="89" t="s">
        <v>2344</v>
      </c>
      <c r="J2" s="81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>
      <c r="A3" s="82"/>
      <c r="B3" s="69" t="s">
        <v>2345</v>
      </c>
      <c r="C3" s="69" t="s">
        <v>2346</v>
      </c>
      <c r="D3" s="69" t="s">
        <v>2347</v>
      </c>
      <c r="E3" s="69" t="s">
        <v>2348</v>
      </c>
      <c r="F3" s="69" t="s">
        <v>2349</v>
      </c>
      <c r="G3" s="69" t="s">
        <v>39</v>
      </c>
      <c r="H3" s="69" t="s">
        <v>2267</v>
      </c>
      <c r="I3" s="69" t="s">
        <v>2350</v>
      </c>
      <c r="J3" s="135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</row>
    <row r="4">
      <c r="A4" s="81"/>
      <c r="B4" s="191">
        <v>1.0</v>
      </c>
      <c r="C4" s="191" t="s">
        <v>2351</v>
      </c>
      <c r="D4" s="75" t="s">
        <v>2352</v>
      </c>
      <c r="E4" s="191"/>
      <c r="F4" s="192">
        <v>45042.0</v>
      </c>
      <c r="G4" s="193" t="s">
        <v>421</v>
      </c>
      <c r="H4" s="75"/>
      <c r="I4" s="194" t="s">
        <v>2353</v>
      </c>
      <c r="J4" s="135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>
      <c r="A5" s="81"/>
      <c r="B5" s="195">
        <v>2.0</v>
      </c>
      <c r="C5" s="195" t="s">
        <v>2354</v>
      </c>
      <c r="D5" s="196" t="s">
        <v>206</v>
      </c>
      <c r="E5" s="195"/>
      <c r="F5" s="197">
        <v>45043.0</v>
      </c>
      <c r="G5" s="193" t="s">
        <v>421</v>
      </c>
      <c r="H5" s="196"/>
      <c r="J5" s="135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>
      <c r="A6" s="81"/>
      <c r="B6" s="191">
        <v>3.0</v>
      </c>
      <c r="C6" s="191" t="s">
        <v>2355</v>
      </c>
      <c r="D6" s="75" t="s">
        <v>76</v>
      </c>
      <c r="E6" s="198"/>
      <c r="F6" s="76"/>
      <c r="G6" s="191" t="s">
        <v>2356</v>
      </c>
      <c r="H6" s="76"/>
      <c r="J6" s="135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</row>
    <row r="7">
      <c r="A7" s="81"/>
      <c r="B7" s="195">
        <v>4.0</v>
      </c>
      <c r="C7" s="195"/>
      <c r="D7" s="196"/>
      <c r="E7" s="199"/>
      <c r="F7" s="200"/>
      <c r="G7" s="195"/>
      <c r="H7" s="200"/>
      <c r="J7" s="135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</row>
    <row r="8">
      <c r="A8" s="81"/>
      <c r="B8" s="191">
        <v>5.0</v>
      </c>
      <c r="C8" s="198"/>
      <c r="D8" s="76"/>
      <c r="E8" s="198"/>
      <c r="F8" s="76"/>
      <c r="G8" s="198"/>
      <c r="H8" s="76"/>
      <c r="J8" s="135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</row>
    <row r="9">
      <c r="A9" s="81"/>
      <c r="B9" s="195">
        <v>6.0</v>
      </c>
      <c r="C9" s="199"/>
      <c r="D9" s="200"/>
      <c r="E9" s="199"/>
      <c r="F9" s="200"/>
      <c r="G9" s="199"/>
      <c r="H9" s="200"/>
      <c r="J9" s="135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</row>
    <row r="10">
      <c r="A10" s="81"/>
      <c r="B10" s="191">
        <v>7.0</v>
      </c>
      <c r="C10" s="198"/>
      <c r="D10" s="76"/>
      <c r="E10" s="198"/>
      <c r="F10" s="76"/>
      <c r="G10" s="198"/>
      <c r="H10" s="76"/>
      <c r="J10" s="135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</row>
    <row r="11">
      <c r="A11" s="81"/>
      <c r="B11" s="195">
        <v>8.0</v>
      </c>
      <c r="C11" s="199"/>
      <c r="D11" s="200"/>
      <c r="E11" s="199"/>
      <c r="F11" s="200"/>
      <c r="G11" s="199"/>
      <c r="H11" s="200"/>
      <c r="J11" s="135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</row>
    <row r="12">
      <c r="A12" s="81"/>
      <c r="B12" s="89" t="s">
        <v>2357</v>
      </c>
      <c r="J12" s="135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</row>
    <row r="13">
      <c r="A13" s="81"/>
      <c r="B13" s="191">
        <v>1.0</v>
      </c>
      <c r="C13" s="191" t="s">
        <v>2358</v>
      </c>
      <c r="D13" s="75" t="s">
        <v>626</v>
      </c>
      <c r="E13" s="191"/>
      <c r="F13" s="192">
        <v>45042.0</v>
      </c>
      <c r="G13" s="201" t="s">
        <v>2356</v>
      </c>
      <c r="H13" s="75"/>
      <c r="I13" s="69" t="s">
        <v>2359</v>
      </c>
      <c r="J13" s="135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</row>
    <row r="14">
      <c r="A14" s="81"/>
      <c r="B14" s="195">
        <v>2.0</v>
      </c>
      <c r="C14" s="195" t="s">
        <v>2360</v>
      </c>
      <c r="D14" s="196" t="s">
        <v>76</v>
      </c>
      <c r="E14" s="195"/>
      <c r="F14" s="202"/>
      <c r="G14" s="195" t="s">
        <v>2356</v>
      </c>
      <c r="H14" s="196"/>
      <c r="I14" s="203" t="s">
        <v>2361</v>
      </c>
      <c r="J14" s="135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</row>
    <row r="15">
      <c r="A15" s="81"/>
      <c r="B15" s="191">
        <v>3.0</v>
      </c>
      <c r="C15" s="191"/>
      <c r="D15" s="75"/>
      <c r="E15" s="191"/>
      <c r="F15" s="204"/>
      <c r="G15" s="191"/>
      <c r="H15" s="75"/>
      <c r="J15" s="135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</row>
    <row r="16">
      <c r="A16" s="81"/>
      <c r="B16" s="195">
        <v>4.0</v>
      </c>
      <c r="C16" s="199"/>
      <c r="D16" s="200"/>
      <c r="E16" s="199"/>
      <c r="F16" s="200"/>
      <c r="G16" s="199"/>
      <c r="H16" s="200"/>
      <c r="J16" s="135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</row>
    <row r="17">
      <c r="A17" s="81"/>
      <c r="B17" s="191">
        <v>5.0</v>
      </c>
      <c r="C17" s="198"/>
      <c r="D17" s="76"/>
      <c r="E17" s="198"/>
      <c r="F17" s="76"/>
      <c r="G17" s="198"/>
      <c r="H17" s="76"/>
      <c r="J17" s="81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</row>
    <row r="18">
      <c r="A18" s="81"/>
      <c r="B18" s="195">
        <v>6.0</v>
      </c>
      <c r="C18" s="199"/>
      <c r="D18" s="200"/>
      <c r="E18" s="199"/>
      <c r="F18" s="200"/>
      <c r="G18" s="199"/>
      <c r="H18" s="200"/>
      <c r="J18" s="81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</row>
    <row r="19">
      <c r="A19" s="81"/>
      <c r="B19" s="191">
        <v>7.0</v>
      </c>
      <c r="C19" s="198"/>
      <c r="D19" s="76"/>
      <c r="E19" s="198"/>
      <c r="F19" s="76"/>
      <c r="G19" s="198"/>
      <c r="H19" s="76"/>
      <c r="J19" s="81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</row>
    <row r="20">
      <c r="A20" s="81"/>
      <c r="B20" s="195">
        <v>8.0</v>
      </c>
      <c r="C20" s="199"/>
      <c r="D20" s="200"/>
      <c r="E20" s="199"/>
      <c r="F20" s="200"/>
      <c r="G20" s="199"/>
      <c r="H20" s="200"/>
      <c r="J20" s="81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</row>
    <row r="21">
      <c r="A21" s="81"/>
      <c r="B21" s="205" t="s">
        <v>2362</v>
      </c>
      <c r="J21" s="81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</row>
    <row r="22">
      <c r="A22" s="81"/>
      <c r="B22" s="191">
        <v>1.0</v>
      </c>
      <c r="C22" s="206" t="s">
        <v>2363</v>
      </c>
      <c r="D22" s="80" t="s">
        <v>2364</v>
      </c>
      <c r="E22" s="207"/>
      <c r="F22" s="208"/>
      <c r="G22" s="206" t="s">
        <v>2356</v>
      </c>
      <c r="H22" s="80" t="s">
        <v>2365</v>
      </c>
      <c r="I22" s="69" t="s">
        <v>2366</v>
      </c>
      <c r="J22" s="81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</row>
    <row r="23">
      <c r="A23" s="81"/>
      <c r="B23" s="195">
        <v>2.0</v>
      </c>
      <c r="C23" s="209" t="s">
        <v>2367</v>
      </c>
      <c r="D23" s="210" t="s">
        <v>206</v>
      </c>
      <c r="E23" s="211"/>
      <c r="F23" s="212"/>
      <c r="G23" s="213" t="s">
        <v>421</v>
      </c>
      <c r="H23" s="211"/>
      <c r="I23" s="214" t="s">
        <v>2368</v>
      </c>
      <c r="J23" s="81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</row>
    <row r="24">
      <c r="A24" s="81"/>
      <c r="B24" s="191">
        <v>3.0</v>
      </c>
      <c r="C24" s="206" t="s">
        <v>2369</v>
      </c>
      <c r="D24" s="80" t="s">
        <v>2370</v>
      </c>
      <c r="E24" s="207"/>
      <c r="F24" s="208"/>
      <c r="G24" s="206" t="s">
        <v>2356</v>
      </c>
      <c r="H24" s="80"/>
      <c r="J24" s="81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</row>
    <row r="25">
      <c r="A25" s="81"/>
      <c r="B25" s="195">
        <v>4.0</v>
      </c>
      <c r="C25" s="209" t="s">
        <v>2369</v>
      </c>
      <c r="D25" s="210" t="s">
        <v>76</v>
      </c>
      <c r="E25" s="211"/>
      <c r="F25" s="211"/>
      <c r="G25" s="209" t="s">
        <v>2356</v>
      </c>
      <c r="H25" s="210" t="s">
        <v>2371</v>
      </c>
      <c r="J25" s="81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</row>
    <row r="26">
      <c r="A26" s="81"/>
      <c r="B26" s="191">
        <v>5.0</v>
      </c>
      <c r="C26" s="215"/>
      <c r="D26" s="207"/>
      <c r="E26" s="207"/>
      <c r="F26" s="207"/>
      <c r="G26" s="215"/>
      <c r="H26" s="207"/>
      <c r="J26" s="81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</row>
    <row r="27">
      <c r="A27" s="81"/>
      <c r="B27" s="195">
        <v>6.0</v>
      </c>
      <c r="C27" s="216"/>
      <c r="D27" s="211"/>
      <c r="E27" s="211"/>
      <c r="F27" s="211"/>
      <c r="G27" s="216"/>
      <c r="H27" s="211"/>
      <c r="J27" s="81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</row>
    <row r="28">
      <c r="A28" s="81"/>
      <c r="B28" s="191">
        <v>7.0</v>
      </c>
      <c r="C28" s="215"/>
      <c r="D28" s="207"/>
      <c r="E28" s="207"/>
      <c r="F28" s="207"/>
      <c r="G28" s="215"/>
      <c r="H28" s="207"/>
      <c r="J28" s="81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</row>
    <row r="29">
      <c r="A29" s="81"/>
      <c r="B29" s="195">
        <v>8.0</v>
      </c>
      <c r="C29" s="216"/>
      <c r="D29" s="211"/>
      <c r="E29" s="211"/>
      <c r="F29" s="211"/>
      <c r="G29" s="216"/>
      <c r="H29" s="211"/>
      <c r="J29" s="81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</row>
    <row r="30">
      <c r="A30" s="81"/>
      <c r="B30" s="217"/>
      <c r="C30" s="217"/>
      <c r="D30" s="217"/>
      <c r="E30" s="217"/>
      <c r="F30" s="217"/>
      <c r="G30" s="217"/>
      <c r="H30" s="217"/>
      <c r="I30" s="217"/>
      <c r="J30" s="135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</row>
    <row r="31" hidden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</row>
    <row r="32" hidden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</row>
    <row r="33" hidden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</row>
    <row r="34" hidden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</row>
    <row r="35" hidden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</row>
    <row r="36" hidden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</row>
    <row r="37" hidden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</row>
    <row r="38" hidden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</row>
    <row r="39" hidden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</row>
    <row r="40" hidden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</row>
    <row r="41" hidden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</row>
    <row r="42" hidden="1">
      <c r="A42" s="76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</row>
    <row r="43" hidden="1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</row>
    <row r="44" hidden="1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</row>
    <row r="45" hidden="1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</row>
    <row r="46" hidden="1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</row>
    <row r="47" hidden="1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</row>
    <row r="48" hidden="1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</row>
    <row r="49" hidden="1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</row>
    <row r="50" hidden="1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</row>
    <row r="51" hidden="1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</row>
    <row r="52" hidden="1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</row>
    <row r="53" hidden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</row>
    <row r="54" hidden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</row>
    <row r="55" hidden="1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</row>
    <row r="56" hidden="1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</row>
    <row r="57" hidden="1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</row>
    <row r="58" hidden="1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</row>
    <row r="59" hidden="1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</row>
    <row r="60" hidden="1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</row>
    <row r="61" hidden="1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</row>
    <row r="62" hidden="1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</row>
    <row r="63" hidden="1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</row>
    <row r="64" hidden="1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</row>
    <row r="65" hidden="1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</row>
    <row r="66" hidden="1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</row>
    <row r="67" hidden="1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</row>
    <row r="68" hidden="1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</row>
    <row r="69" hidden="1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</row>
    <row r="70" hidden="1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</row>
    <row r="71" hidden="1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</row>
    <row r="72" hidden="1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</row>
    <row r="73" hidden="1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</row>
    <row r="74" hidden="1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</row>
    <row r="75" hidden="1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</row>
    <row r="76" hidden="1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</row>
    <row r="77" hidden="1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</row>
    <row r="78" hidden="1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</row>
    <row r="79" hidden="1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</row>
    <row r="80" hidden="1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</row>
    <row r="81" hidden="1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</row>
    <row r="82" hidden="1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</row>
    <row r="83" hidden="1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</row>
    <row r="84" hidden="1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</row>
    <row r="85" hidden="1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</row>
    <row r="86" hidden="1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</row>
    <row r="87" hidden="1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</row>
    <row r="88" hidden="1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</row>
    <row r="89" hidden="1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</row>
    <row r="90" hidden="1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</row>
    <row r="91" hidden="1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</row>
    <row r="92" hidden="1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</row>
    <row r="93" hidden="1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</row>
    <row r="94" hidden="1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</row>
    <row r="95" hidden="1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</row>
    <row r="96" hidden="1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</row>
    <row r="97" hidden="1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</row>
    <row r="98" hidden="1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</row>
    <row r="99" hidden="1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</row>
    <row r="100" hidden="1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</row>
    <row r="101" hidden="1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</row>
    <row r="102" hidden="1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</row>
    <row r="103" hidden="1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</row>
    <row r="104" hidden="1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</row>
    <row r="105" hidden="1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</row>
    <row r="106" hidden="1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</row>
    <row r="107" hidden="1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</row>
    <row r="108" hidden="1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</row>
    <row r="109" hidden="1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</row>
    <row r="110" hidden="1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</row>
    <row r="111" hidden="1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</row>
    <row r="112" hidden="1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</row>
    <row r="113" hidden="1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</row>
    <row r="114" hidden="1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</row>
    <row r="115" hidden="1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</row>
    <row r="116" hidden="1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</row>
    <row r="117" hidden="1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</row>
    <row r="118" hidden="1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</row>
    <row r="119" hidden="1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</row>
    <row r="120" hidden="1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</row>
    <row r="121" hidden="1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</row>
    <row r="122" hidden="1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</row>
    <row r="123" hidden="1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</row>
    <row r="124" hidden="1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</row>
    <row r="125" hidden="1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</row>
    <row r="126" hidden="1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</row>
    <row r="127" hidden="1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</row>
    <row r="128" hidden="1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</row>
    <row r="129" hidden="1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</row>
    <row r="130" hidden="1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</row>
    <row r="131" hidden="1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</row>
    <row r="132" hidden="1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</row>
    <row r="133" hidden="1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</row>
    <row r="134" hidden="1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</row>
    <row r="135" hidden="1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</row>
    <row r="136" hidden="1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</row>
    <row r="137" hidden="1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</row>
    <row r="138" hidden="1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</row>
    <row r="139" hidden="1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</row>
    <row r="140" hidden="1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</row>
    <row r="141" hidden="1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</row>
    <row r="142" hidden="1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</row>
    <row r="143" hidden="1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</row>
    <row r="144" hidden="1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</row>
    <row r="145" hidden="1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</row>
    <row r="146" hidden="1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</row>
    <row r="147" hidden="1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</row>
    <row r="148" hidden="1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</row>
    <row r="149" hidden="1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</row>
    <row r="150" hidden="1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</row>
    <row r="151" hidden="1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</row>
    <row r="152" hidden="1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</row>
    <row r="153" hidden="1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</row>
    <row r="154" hidden="1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</row>
    <row r="155" hidden="1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</row>
    <row r="156" hidden="1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</row>
    <row r="157" hidden="1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</row>
    <row r="158" hidden="1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</row>
    <row r="159" hidden="1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</row>
    <row r="160" hidden="1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</row>
    <row r="161" hidden="1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</row>
    <row r="162" hidden="1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</row>
    <row r="163" hidden="1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</row>
    <row r="164" hidden="1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</row>
    <row r="165" hidden="1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</row>
    <row r="166" hidden="1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</row>
    <row r="167" hidden="1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</row>
    <row r="168" hidden="1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</row>
    <row r="169" hidden="1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</row>
    <row r="170" hidden="1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</row>
    <row r="171" hidden="1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</row>
    <row r="172" hidden="1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</row>
    <row r="173" hidden="1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</row>
    <row r="174" hidden="1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</row>
    <row r="175" hidden="1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</row>
    <row r="176" hidden="1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</row>
    <row r="177" hidden="1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</row>
    <row r="178" hidden="1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</row>
    <row r="179" hidden="1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</row>
    <row r="180" hidden="1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</row>
    <row r="181" hidden="1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</row>
    <row r="182" hidden="1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</row>
    <row r="183" hidden="1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</row>
    <row r="184" hidden="1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</row>
    <row r="185" hidden="1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</row>
    <row r="186" hidden="1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</row>
    <row r="187" hidden="1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</row>
    <row r="188" hidden="1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</row>
    <row r="189" hidden="1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</row>
    <row r="190" hidden="1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</row>
    <row r="191" hidden="1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</row>
    <row r="192" hidden="1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</row>
    <row r="193" hidden="1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</row>
    <row r="194" hidden="1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</row>
    <row r="195" hidden="1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</row>
    <row r="196" hidden="1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</row>
    <row r="197" hidden="1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</row>
    <row r="198" hidden="1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</row>
    <row r="199" hidden="1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</row>
    <row r="200" hidden="1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</row>
    <row r="201" hidden="1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</row>
    <row r="202" hidden="1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</row>
    <row r="203" hidden="1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</row>
    <row r="204" hidden="1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</row>
    <row r="205" hidden="1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</row>
    <row r="206" hidden="1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</row>
    <row r="207" hidden="1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</row>
    <row r="208" hidden="1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</row>
    <row r="209" hidden="1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</row>
    <row r="210" hidden="1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</row>
    <row r="211" hidden="1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</row>
    <row r="212" hidden="1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</row>
    <row r="213" hidden="1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</row>
    <row r="214" hidden="1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</row>
    <row r="215" hidden="1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</row>
    <row r="216" hidden="1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</row>
    <row r="217" hidden="1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</row>
    <row r="218" hidden="1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</row>
    <row r="219" hidden="1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</row>
    <row r="220" hidden="1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</row>
    <row r="221" hidden="1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</row>
    <row r="222" hidden="1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</row>
    <row r="223" hidden="1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</row>
    <row r="224" hidden="1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</row>
    <row r="225" hidden="1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</row>
    <row r="226" hidden="1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</row>
    <row r="227" hidden="1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</row>
    <row r="228" hidden="1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</row>
    <row r="229" hidden="1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</row>
    <row r="230" hidden="1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</row>
    <row r="231" hidden="1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</row>
    <row r="232" hidden="1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</row>
    <row r="233" hidden="1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</row>
    <row r="234" hidden="1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</row>
    <row r="235" hidden="1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</row>
    <row r="236" hidden="1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</row>
    <row r="237" hidden="1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</row>
    <row r="238" hidden="1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</row>
    <row r="239" hidden="1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</row>
    <row r="240" hidden="1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</row>
    <row r="241" hidden="1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</row>
    <row r="242" hidden="1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</row>
    <row r="243" hidden="1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</row>
    <row r="244" hidden="1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</row>
    <row r="245" hidden="1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</row>
    <row r="246" hidden="1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</row>
    <row r="247" hidden="1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</row>
    <row r="248" hidden="1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</row>
    <row r="249" hidden="1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</row>
    <row r="250" hidden="1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</row>
    <row r="251" hidden="1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</row>
    <row r="252" hidden="1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</row>
    <row r="253" hidden="1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</row>
    <row r="254" hidden="1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</row>
    <row r="255" hidden="1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</row>
    <row r="256" hidden="1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</row>
    <row r="257" hidden="1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</row>
    <row r="258" hidden="1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</row>
    <row r="259" hidden="1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</row>
    <row r="260" hidden="1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</row>
    <row r="261" hidden="1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</row>
    <row r="262" hidden="1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</row>
    <row r="263" hidden="1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</row>
    <row r="264" hidden="1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</row>
    <row r="265" hidden="1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</row>
    <row r="266" hidden="1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</row>
    <row r="267" hidden="1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</row>
    <row r="268" hidden="1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</row>
    <row r="269" hidden="1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</row>
    <row r="270" hidden="1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</row>
    <row r="271" hidden="1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</row>
    <row r="272" hidden="1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</row>
    <row r="273" hidden="1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</row>
    <row r="274" hidden="1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</row>
    <row r="275" hidden="1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</row>
    <row r="276" hidden="1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</row>
    <row r="277" hidden="1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</row>
    <row r="278" hidden="1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</row>
    <row r="279" hidden="1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</row>
    <row r="280" hidden="1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</row>
    <row r="281" hidden="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</row>
    <row r="282" hidden="1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</row>
    <row r="283" hidden="1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</row>
    <row r="284" hidden="1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</row>
    <row r="285" hidden="1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</row>
    <row r="286" hidden="1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</row>
    <row r="287" hidden="1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</row>
    <row r="288" hidden="1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</row>
    <row r="289" hidden="1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</row>
    <row r="290" hidden="1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</row>
    <row r="291" hidden="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</row>
    <row r="292" hidden="1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</row>
    <row r="293" hidden="1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</row>
    <row r="294" hidden="1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</row>
    <row r="295" hidden="1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</row>
    <row r="296" hidden="1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</row>
    <row r="297" hidden="1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</row>
    <row r="298" hidden="1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</row>
    <row r="299" hidden="1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</row>
    <row r="300" hidden="1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</row>
    <row r="301" hidden="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</row>
    <row r="302" hidden="1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</row>
    <row r="303" hidden="1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</row>
    <row r="304" hidden="1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</row>
    <row r="305" hidden="1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</row>
    <row r="306" hidden="1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</row>
    <row r="307" hidden="1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</row>
    <row r="308" hidden="1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</row>
    <row r="309" hidden="1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</row>
    <row r="310" hidden="1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</row>
    <row r="311" hidden="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</row>
    <row r="312" hidden="1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</row>
    <row r="313" hidden="1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</row>
    <row r="314" hidden="1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</row>
    <row r="315" hidden="1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</row>
    <row r="316" hidden="1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</row>
    <row r="317" hidden="1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</row>
    <row r="318" hidden="1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</row>
    <row r="319" hidden="1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</row>
    <row r="320" hidden="1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</row>
    <row r="321" hidden="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</row>
    <row r="322" hidden="1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</row>
    <row r="323" hidden="1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</row>
    <row r="324" hidden="1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</row>
    <row r="325" hidden="1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</row>
    <row r="326" hidden="1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</row>
    <row r="327" hidden="1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</row>
    <row r="328" hidden="1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</row>
    <row r="329" hidden="1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</row>
    <row r="330" hidden="1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</row>
    <row r="331" hidden="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</row>
    <row r="332" hidden="1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</row>
    <row r="333" hidden="1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</row>
    <row r="334" hidden="1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</row>
    <row r="335" hidden="1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</row>
    <row r="336" hidden="1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</row>
    <row r="337" hidden="1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</row>
    <row r="338" hidden="1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</row>
    <row r="339" hidden="1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</row>
    <row r="340" hidden="1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</row>
    <row r="341" hidden="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</row>
    <row r="342" hidden="1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</row>
    <row r="343" hidden="1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</row>
    <row r="344" hidden="1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</row>
    <row r="345" hidden="1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</row>
    <row r="346" hidden="1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</row>
    <row r="347" hidden="1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</row>
    <row r="348" hidden="1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</row>
    <row r="349" hidden="1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</row>
    <row r="350" hidden="1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</row>
    <row r="351" hidden="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</row>
    <row r="352" hidden="1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</row>
    <row r="353" hidden="1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</row>
    <row r="354" hidden="1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</row>
    <row r="355" hidden="1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</row>
    <row r="356" hidden="1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</row>
    <row r="357" hidden="1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</row>
    <row r="358" hidden="1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</row>
    <row r="359" hidden="1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</row>
    <row r="360" hidden="1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</row>
    <row r="361" hidden="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</row>
    <row r="362" hidden="1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</row>
    <row r="363" hidden="1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</row>
    <row r="364" hidden="1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</row>
    <row r="365" hidden="1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</row>
    <row r="366" hidden="1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</row>
    <row r="367" hidden="1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</row>
    <row r="368" hidden="1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</row>
    <row r="369" hidden="1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</row>
    <row r="370" hidden="1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</row>
    <row r="371" hidden="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</row>
    <row r="372" hidden="1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</row>
    <row r="373" hidden="1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</row>
    <row r="374" hidden="1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</row>
    <row r="375" hidden="1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</row>
    <row r="376" hidden="1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</row>
    <row r="377" hidden="1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</row>
    <row r="378" hidden="1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</row>
    <row r="379" hidden="1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</row>
    <row r="380" hidden="1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</row>
    <row r="381" hidden="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</row>
    <row r="382" hidden="1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</row>
    <row r="383" hidden="1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</row>
    <row r="384" hidden="1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</row>
    <row r="385" hidden="1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</row>
    <row r="386" hidden="1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</row>
    <row r="387" hidden="1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</row>
    <row r="388" hidden="1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</row>
    <row r="389" hidden="1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</row>
    <row r="390" hidden="1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</row>
    <row r="391" hidden="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</row>
    <row r="392" hidden="1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</row>
    <row r="393" hidden="1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</row>
    <row r="394" hidden="1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</row>
    <row r="395" hidden="1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</row>
    <row r="396" hidden="1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</row>
    <row r="397" hidden="1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</row>
    <row r="398" hidden="1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</row>
    <row r="399" hidden="1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</row>
    <row r="400" hidden="1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</row>
    <row r="401" hidden="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</row>
    <row r="402" hidden="1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</row>
    <row r="403" hidden="1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</row>
    <row r="404" hidden="1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</row>
    <row r="405" hidden="1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</row>
    <row r="406" hidden="1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</row>
    <row r="407" hidden="1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</row>
    <row r="408" hidden="1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</row>
    <row r="409" hidden="1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</row>
    <row r="410" hidden="1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</row>
    <row r="411" hidden="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</row>
    <row r="412" hidden="1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</row>
    <row r="413" hidden="1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</row>
    <row r="414" hidden="1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</row>
    <row r="415" hidden="1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</row>
    <row r="416" hidden="1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</row>
    <row r="417" hidden="1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</row>
    <row r="418" hidden="1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</row>
    <row r="419" hidden="1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</row>
    <row r="420" hidden="1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</row>
    <row r="421" hidden="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</row>
    <row r="422" hidden="1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</row>
    <row r="423" hidden="1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</row>
    <row r="424" hidden="1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</row>
    <row r="425" hidden="1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</row>
    <row r="426" hidden="1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</row>
    <row r="427" hidden="1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</row>
    <row r="428" hidden="1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</row>
    <row r="429" hidden="1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</row>
    <row r="430" hidden="1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</row>
    <row r="431" hidden="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</row>
    <row r="432" hidden="1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</row>
    <row r="433" hidden="1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</row>
    <row r="434" hidden="1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</row>
    <row r="435" hidden="1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</row>
    <row r="436" hidden="1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</row>
    <row r="437" hidden="1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</row>
    <row r="438" hidden="1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</row>
    <row r="439" hidden="1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</row>
    <row r="440" hidden="1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</row>
    <row r="441" hidden="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</row>
    <row r="442" hidden="1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</row>
    <row r="443" hidden="1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</row>
    <row r="444" hidden="1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</row>
    <row r="445" hidden="1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</row>
    <row r="446" hidden="1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</row>
    <row r="447" hidden="1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</row>
    <row r="448" hidden="1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</row>
    <row r="449" hidden="1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</row>
    <row r="450" hidden="1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</row>
    <row r="451" hidden="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</row>
    <row r="452" hidden="1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</row>
    <row r="453" hidden="1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</row>
    <row r="454" hidden="1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</row>
    <row r="455" hidden="1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</row>
    <row r="456" hidden="1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</row>
    <row r="457" hidden="1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</row>
    <row r="458" hidden="1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</row>
    <row r="459" hidden="1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</row>
    <row r="460" hidden="1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</row>
    <row r="461" hidden="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</row>
    <row r="462" hidden="1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</row>
    <row r="463" hidden="1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</row>
    <row r="464" hidden="1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</row>
    <row r="465" hidden="1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</row>
    <row r="466" hidden="1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</row>
    <row r="467" hidden="1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</row>
    <row r="468" hidden="1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</row>
    <row r="469" hidden="1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</row>
    <row r="470" hidden="1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</row>
    <row r="471" hidden="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</row>
    <row r="472" hidden="1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</row>
    <row r="473" hidden="1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</row>
    <row r="474" hidden="1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</row>
    <row r="475" hidden="1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</row>
    <row r="476" hidden="1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</row>
    <row r="477" hidden="1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</row>
    <row r="478" hidden="1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</row>
    <row r="479" hidden="1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</row>
    <row r="480" hidden="1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</row>
    <row r="481" hidden="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</row>
    <row r="482" hidden="1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</row>
    <row r="483" hidden="1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</row>
    <row r="484" hidden="1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</row>
    <row r="485" hidden="1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</row>
    <row r="486" hidden="1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</row>
    <row r="487" hidden="1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</row>
    <row r="488" hidden="1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</row>
    <row r="489" hidden="1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</row>
    <row r="490" hidden="1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</row>
    <row r="491" hidden="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</row>
    <row r="492" hidden="1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</row>
    <row r="493" hidden="1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</row>
    <row r="494" hidden="1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</row>
    <row r="495" hidden="1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</row>
    <row r="496" hidden="1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</row>
    <row r="497" hidden="1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</row>
    <row r="498" hidden="1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</row>
    <row r="499" hidden="1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</row>
    <row r="500" hidden="1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</row>
    <row r="501" hidden="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</row>
    <row r="502" hidden="1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</row>
    <row r="503" hidden="1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</row>
    <row r="504" hidden="1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</row>
    <row r="505" hidden="1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</row>
    <row r="506" hidden="1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</row>
    <row r="507" hidden="1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</row>
    <row r="508" hidden="1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</row>
    <row r="509" hidden="1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</row>
    <row r="510" hidden="1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</row>
    <row r="511" hidden="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</row>
    <row r="512" hidden="1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</row>
    <row r="513" hidden="1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</row>
    <row r="514" hidden="1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</row>
    <row r="515" hidden="1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</row>
    <row r="516" hidden="1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</row>
    <row r="517" hidden="1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</row>
    <row r="518" hidden="1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</row>
    <row r="519" hidden="1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</row>
    <row r="520" hidden="1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</row>
    <row r="521" hidden="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</row>
    <row r="522" hidden="1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</row>
    <row r="523" hidden="1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</row>
    <row r="524" hidden="1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</row>
    <row r="525" hidden="1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</row>
    <row r="526" hidden="1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</row>
    <row r="527" hidden="1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</row>
    <row r="528" hidden="1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</row>
    <row r="529" hidden="1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</row>
    <row r="530" hidden="1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</row>
    <row r="531" hidden="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</row>
    <row r="532" hidden="1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</row>
    <row r="533" hidden="1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</row>
    <row r="534" hidden="1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</row>
    <row r="535" hidden="1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</row>
    <row r="536" hidden="1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</row>
    <row r="537" hidden="1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</row>
    <row r="538" hidden="1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</row>
    <row r="539" hidden="1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</row>
    <row r="540" hidden="1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</row>
    <row r="541" hidden="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</row>
    <row r="542" hidden="1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</row>
    <row r="543" hidden="1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</row>
    <row r="544" hidden="1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</row>
    <row r="545" hidden="1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</row>
    <row r="546" hidden="1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</row>
    <row r="547" hidden="1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</row>
    <row r="548" hidden="1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</row>
    <row r="549" hidden="1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</row>
    <row r="550" hidden="1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</row>
    <row r="551" hidden="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</row>
    <row r="552" hidden="1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</row>
    <row r="553" hidden="1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</row>
    <row r="554" hidden="1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</row>
    <row r="555" hidden="1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</row>
    <row r="556" hidden="1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</row>
    <row r="557" hidden="1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</row>
    <row r="558" hidden="1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</row>
    <row r="559" hidden="1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</row>
    <row r="560" hidden="1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</row>
    <row r="561" hidden="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</row>
    <row r="562" hidden="1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</row>
    <row r="563" hidden="1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</row>
    <row r="564" hidden="1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</row>
    <row r="565" hidden="1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</row>
    <row r="566" hidden="1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</row>
    <row r="567" hidden="1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</row>
    <row r="568" hidden="1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</row>
    <row r="569" hidden="1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</row>
    <row r="570" hidden="1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</row>
    <row r="571" hidden="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</row>
    <row r="572" hidden="1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</row>
    <row r="573" hidden="1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</row>
    <row r="574" hidden="1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</row>
    <row r="575" hidden="1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</row>
    <row r="576" hidden="1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</row>
    <row r="577" hidden="1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</row>
    <row r="578" hidden="1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</row>
    <row r="579" hidden="1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</row>
    <row r="580" hidden="1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</row>
    <row r="581" hidden="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</row>
    <row r="582" hidden="1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</row>
    <row r="583" hidden="1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</row>
    <row r="584" hidden="1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</row>
    <row r="585" hidden="1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</row>
    <row r="586" hidden="1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</row>
    <row r="587" hidden="1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</row>
    <row r="588" hidden="1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</row>
    <row r="589" hidden="1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</row>
    <row r="590" hidden="1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</row>
    <row r="591" hidden="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</row>
    <row r="592" hidden="1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</row>
    <row r="593" hidden="1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</row>
    <row r="594" hidden="1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</row>
    <row r="595" hidden="1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</row>
    <row r="596" hidden="1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</row>
    <row r="597" hidden="1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</row>
    <row r="598" hidden="1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</row>
    <row r="599" hidden="1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</row>
    <row r="600" hidden="1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</row>
    <row r="601" hidden="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</row>
    <row r="602" hidden="1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</row>
    <row r="603" hidden="1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</row>
    <row r="604" hidden="1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</row>
    <row r="605" hidden="1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</row>
    <row r="606" hidden="1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</row>
    <row r="607" hidden="1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</row>
    <row r="608" hidden="1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</row>
    <row r="609" hidden="1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</row>
    <row r="610" hidden="1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</row>
    <row r="611" hidden="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</row>
    <row r="612" hidden="1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</row>
    <row r="613" hidden="1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</row>
    <row r="614" hidden="1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</row>
    <row r="615" hidden="1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</row>
    <row r="616" hidden="1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</row>
    <row r="617" hidden="1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</row>
    <row r="618" hidden="1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</row>
    <row r="619" hidden="1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</row>
    <row r="620" hidden="1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</row>
    <row r="621" hidden="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</row>
    <row r="622" hidden="1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</row>
    <row r="623" hidden="1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</row>
    <row r="624" hidden="1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</row>
    <row r="625" hidden="1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</row>
    <row r="626" hidden="1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</row>
    <row r="627" hidden="1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</row>
    <row r="628" hidden="1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</row>
    <row r="629" hidden="1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</row>
    <row r="630" hidden="1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</row>
    <row r="631" hidden="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</row>
    <row r="632" hidden="1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</row>
    <row r="633" hidden="1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</row>
    <row r="634" hidden="1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</row>
    <row r="635" hidden="1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</row>
    <row r="636" hidden="1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</row>
    <row r="637" hidden="1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</row>
    <row r="638" hidden="1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</row>
    <row r="639" hidden="1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</row>
    <row r="640" hidden="1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</row>
    <row r="641" hidden="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</row>
    <row r="642" hidden="1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</row>
    <row r="643" hidden="1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</row>
    <row r="644" hidden="1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</row>
    <row r="645" hidden="1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</row>
    <row r="646" hidden="1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</row>
    <row r="647" hidden="1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</row>
    <row r="648" hidden="1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</row>
    <row r="649" hidden="1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</row>
    <row r="650" hidden="1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</row>
    <row r="651" hidden="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</row>
    <row r="652" hidden="1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</row>
    <row r="653" hidden="1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</row>
    <row r="654" hidden="1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</row>
    <row r="655" hidden="1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</row>
    <row r="656" hidden="1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</row>
    <row r="657" hidden="1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</row>
    <row r="658" hidden="1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</row>
    <row r="659" hidden="1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</row>
    <row r="660" hidden="1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</row>
    <row r="661" hidden="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</row>
    <row r="662" hidden="1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</row>
    <row r="663" hidden="1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</row>
    <row r="664" hidden="1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</row>
    <row r="665" hidden="1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</row>
    <row r="666" hidden="1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</row>
    <row r="667" hidden="1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</row>
    <row r="668" hidden="1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</row>
    <row r="669" hidden="1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</row>
    <row r="670" hidden="1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</row>
    <row r="671" hidden="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</row>
    <row r="672" hidden="1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</row>
    <row r="673" hidden="1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</row>
    <row r="674" hidden="1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</row>
    <row r="675" hidden="1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</row>
    <row r="676" hidden="1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</row>
    <row r="677" hidden="1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</row>
    <row r="678" hidden="1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</row>
    <row r="679" hidden="1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</row>
    <row r="680" hidden="1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</row>
    <row r="681" hidden="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</row>
    <row r="682" hidden="1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</row>
    <row r="683" hidden="1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</row>
    <row r="684" hidden="1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</row>
    <row r="685" hidden="1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</row>
    <row r="686" hidden="1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</row>
    <row r="687" hidden="1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</row>
    <row r="688" hidden="1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</row>
    <row r="689" hidden="1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</row>
    <row r="690" hidden="1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</row>
    <row r="691" hidden="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</row>
    <row r="692" hidden="1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</row>
    <row r="693" hidden="1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</row>
    <row r="694" hidden="1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</row>
    <row r="695" hidden="1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</row>
    <row r="696" hidden="1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</row>
    <row r="697" hidden="1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</row>
    <row r="698" hidden="1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</row>
    <row r="699" hidden="1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</row>
    <row r="700" hidden="1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</row>
    <row r="701" hidden="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</row>
    <row r="702" hidden="1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</row>
    <row r="703" hidden="1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</row>
    <row r="704" hidden="1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</row>
    <row r="705" hidden="1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</row>
    <row r="706" hidden="1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</row>
    <row r="707" hidden="1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</row>
    <row r="708" hidden="1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</row>
    <row r="709" hidden="1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</row>
    <row r="710" hidden="1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</row>
    <row r="711" hidden="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</row>
    <row r="712" hidden="1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</row>
    <row r="713" hidden="1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</row>
    <row r="714" hidden="1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</row>
    <row r="715" hidden="1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</row>
    <row r="716" hidden="1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</row>
    <row r="717" hidden="1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</row>
    <row r="718" hidden="1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</row>
    <row r="719" hidden="1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</row>
    <row r="720" hidden="1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</row>
    <row r="721" hidden="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</row>
    <row r="722" hidden="1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</row>
    <row r="723" hidden="1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</row>
    <row r="724" hidden="1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</row>
    <row r="725" hidden="1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</row>
    <row r="726" hidden="1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</row>
    <row r="727" hidden="1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</row>
    <row r="728" hidden="1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</row>
    <row r="729" hidden="1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</row>
    <row r="730" hidden="1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</row>
    <row r="731" hidden="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</row>
    <row r="732" hidden="1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</row>
    <row r="733" hidden="1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</row>
    <row r="734" hidden="1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</row>
    <row r="735" hidden="1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</row>
    <row r="736" hidden="1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</row>
    <row r="737" hidden="1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</row>
    <row r="738" hidden="1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</row>
    <row r="739" hidden="1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</row>
    <row r="740" hidden="1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</row>
    <row r="741" hidden="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</row>
    <row r="742" hidden="1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</row>
    <row r="743" hidden="1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</row>
    <row r="744" hidden="1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</row>
    <row r="745" hidden="1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</row>
    <row r="746" hidden="1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</row>
    <row r="747" hidden="1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</row>
    <row r="748" hidden="1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</row>
    <row r="749" hidden="1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</row>
    <row r="750" hidden="1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</row>
    <row r="751" hidden="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</row>
    <row r="752" hidden="1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</row>
    <row r="753" hidden="1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</row>
    <row r="754" hidden="1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</row>
    <row r="755" hidden="1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</row>
    <row r="756" hidden="1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</row>
    <row r="757" hidden="1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</row>
    <row r="758" hidden="1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</row>
    <row r="759" hidden="1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</row>
    <row r="760" hidden="1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</row>
    <row r="761" hidden="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</row>
    <row r="762" hidden="1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</row>
    <row r="763" hidden="1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</row>
    <row r="764" hidden="1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</row>
    <row r="765" hidden="1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</row>
    <row r="766" hidden="1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</row>
    <row r="767" hidden="1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</row>
    <row r="768" hidden="1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</row>
    <row r="769" hidden="1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</row>
    <row r="770" hidden="1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</row>
    <row r="771" hidden="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</row>
    <row r="772" hidden="1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</row>
    <row r="773" hidden="1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</row>
    <row r="774" hidden="1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</row>
    <row r="775" hidden="1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</row>
    <row r="776" hidden="1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</row>
    <row r="777" hidden="1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</row>
    <row r="778" hidden="1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</row>
    <row r="779" hidden="1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</row>
    <row r="780" hidden="1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</row>
    <row r="781" hidden="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</row>
    <row r="782" hidden="1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</row>
    <row r="783" hidden="1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</row>
    <row r="784" hidden="1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</row>
    <row r="785" hidden="1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</row>
    <row r="786" hidden="1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</row>
    <row r="787" hidden="1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</row>
    <row r="788" hidden="1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</row>
    <row r="789" hidden="1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</row>
    <row r="790" hidden="1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</row>
    <row r="791" hidden="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</row>
    <row r="792" hidden="1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</row>
    <row r="793" hidden="1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</row>
    <row r="794" hidden="1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</row>
    <row r="795" hidden="1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</row>
    <row r="796" hidden="1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</row>
    <row r="797" hidden="1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</row>
    <row r="798" hidden="1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</row>
    <row r="799" hidden="1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</row>
    <row r="800" hidden="1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</row>
    <row r="801" hidden="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</row>
    <row r="802" hidden="1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</row>
    <row r="803" hidden="1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</row>
    <row r="804" hidden="1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</row>
    <row r="805" hidden="1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</row>
    <row r="806" hidden="1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</row>
    <row r="807" hidden="1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</row>
    <row r="808" hidden="1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</row>
    <row r="809" hidden="1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</row>
    <row r="810" hidden="1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</row>
    <row r="811" hidden="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</row>
    <row r="812" hidden="1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</row>
    <row r="813" hidden="1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</row>
    <row r="814" hidden="1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</row>
    <row r="815" hidden="1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</row>
    <row r="816" hidden="1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</row>
    <row r="817" hidden="1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</row>
    <row r="818" hidden="1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</row>
    <row r="819" hidden="1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</row>
    <row r="820" hidden="1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</row>
    <row r="821" hidden="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</row>
    <row r="822" hidden="1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</row>
    <row r="823" hidden="1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</row>
    <row r="824" hidden="1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</row>
    <row r="825" hidden="1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</row>
    <row r="826" hidden="1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</row>
    <row r="827" hidden="1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</row>
    <row r="828" hidden="1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</row>
    <row r="829" hidden="1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</row>
    <row r="830" hidden="1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</row>
    <row r="831" hidden="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</row>
    <row r="832" hidden="1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</row>
    <row r="833" hidden="1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</row>
    <row r="834" hidden="1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</row>
    <row r="835" hidden="1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</row>
    <row r="836" hidden="1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</row>
    <row r="837" hidden="1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</row>
    <row r="838" hidden="1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</row>
    <row r="839" hidden="1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</row>
    <row r="840" hidden="1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</row>
    <row r="841" hidden="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</row>
    <row r="842" hidden="1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</row>
    <row r="843" hidden="1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</row>
    <row r="844" hidden="1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</row>
    <row r="845" hidden="1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</row>
    <row r="846" hidden="1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</row>
    <row r="847" hidden="1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</row>
    <row r="848" hidden="1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</row>
    <row r="849" hidden="1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</row>
    <row r="850" hidden="1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</row>
    <row r="851" hidden="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</row>
    <row r="852" hidden="1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</row>
    <row r="853" hidden="1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</row>
    <row r="854" hidden="1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</row>
    <row r="855" hidden="1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</row>
    <row r="856" hidden="1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</row>
    <row r="857" hidden="1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</row>
    <row r="858" hidden="1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</row>
    <row r="859" hidden="1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</row>
    <row r="860" hidden="1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</row>
    <row r="861" hidden="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</row>
    <row r="862" hidden="1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</row>
    <row r="863" hidden="1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</row>
    <row r="864" hidden="1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</row>
    <row r="865" hidden="1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</row>
    <row r="866" hidden="1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</row>
    <row r="867" hidden="1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</row>
    <row r="868" hidden="1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</row>
    <row r="869" hidden="1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</row>
    <row r="870" hidden="1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</row>
    <row r="871" hidden="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</row>
    <row r="872" hidden="1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</row>
    <row r="873" hidden="1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</row>
    <row r="874" hidden="1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</row>
    <row r="875" hidden="1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</row>
    <row r="876" hidden="1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</row>
    <row r="877" hidden="1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</row>
    <row r="878" hidden="1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</row>
    <row r="879" hidden="1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</row>
    <row r="880" hidden="1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</row>
    <row r="881" hidden="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</row>
    <row r="882" hidden="1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</row>
    <row r="883" hidden="1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</row>
    <row r="884" hidden="1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</row>
    <row r="885" hidden="1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</row>
    <row r="886" hidden="1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</row>
    <row r="887" hidden="1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</row>
    <row r="888" hidden="1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</row>
    <row r="889" hidden="1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</row>
    <row r="890" hidden="1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</row>
    <row r="891" hidden="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</row>
    <row r="892" hidden="1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</row>
    <row r="893" hidden="1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</row>
    <row r="894" hidden="1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</row>
    <row r="895" hidden="1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</row>
    <row r="896" hidden="1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</row>
    <row r="897" hidden="1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</row>
    <row r="898" hidden="1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</row>
    <row r="899" hidden="1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</row>
    <row r="900" hidden="1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</row>
    <row r="901" hidden="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</row>
    <row r="902" hidden="1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</row>
    <row r="903" hidden="1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</row>
    <row r="904" hidden="1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</row>
    <row r="905" hidden="1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</row>
    <row r="906" hidden="1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</row>
    <row r="907" hidden="1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</row>
    <row r="908" hidden="1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</row>
    <row r="909" hidden="1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</row>
    <row r="910" hidden="1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</row>
    <row r="911" hidden="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</row>
    <row r="912" hidden="1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</row>
    <row r="913" hidden="1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</row>
    <row r="914" hidden="1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</row>
    <row r="915" hidden="1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</row>
    <row r="916" hidden="1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</row>
    <row r="917" hidden="1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</row>
    <row r="918" hidden="1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</row>
    <row r="919" hidden="1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</row>
    <row r="920" hidden="1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</row>
    <row r="921" hidden="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</row>
    <row r="922" hidden="1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</row>
    <row r="923" hidden="1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</row>
    <row r="924" hidden="1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</row>
    <row r="925" hidden="1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</row>
    <row r="926" hidden="1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</row>
    <row r="927" hidden="1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</row>
    <row r="928" hidden="1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</row>
    <row r="929" hidden="1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</row>
    <row r="930" hidden="1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</row>
    <row r="931" hidden="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</row>
    <row r="932" hidden="1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</row>
    <row r="933" hidden="1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</row>
    <row r="934" hidden="1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</row>
    <row r="935" hidden="1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</row>
    <row r="936" hidden="1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</row>
    <row r="937" hidden="1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</row>
    <row r="938" hidden="1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</row>
    <row r="939" hidden="1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</row>
    <row r="940" hidden="1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</row>
    <row r="941" hidden="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</row>
    <row r="942" hidden="1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</row>
    <row r="943" hidden="1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</row>
    <row r="944" hidden="1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</row>
    <row r="945" hidden="1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</row>
    <row r="946" hidden="1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</row>
    <row r="947" hidden="1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</row>
    <row r="948" hidden="1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</row>
    <row r="949" hidden="1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</row>
    <row r="950" hidden="1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</row>
    <row r="951" hidden="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</row>
    <row r="952" hidden="1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</row>
    <row r="953" hidden="1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</row>
    <row r="954" hidden="1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</row>
    <row r="955" hidden="1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</row>
    <row r="956" hidden="1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</row>
    <row r="957" hidden="1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</row>
    <row r="958" hidden="1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</row>
    <row r="959" hidden="1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</row>
    <row r="960" hidden="1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</row>
    <row r="961" hidden="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</row>
    <row r="962" hidden="1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</row>
    <row r="963" hidden="1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</row>
    <row r="964" hidden="1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</row>
    <row r="965" hidden="1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</row>
    <row r="966" hidden="1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</row>
    <row r="967" hidden="1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</row>
    <row r="968" hidden="1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</row>
    <row r="969" hidden="1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</row>
    <row r="970" hidden="1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</row>
    <row r="971" hidden="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</row>
    <row r="972" hidden="1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</row>
    <row r="973" hidden="1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</row>
    <row r="974" hidden="1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</row>
    <row r="975" hidden="1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</row>
    <row r="976" hidden="1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</row>
    <row r="977" hidden="1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</row>
    <row r="978" hidden="1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</row>
    <row r="979" hidden="1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</row>
    <row r="980" hidden="1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</row>
    <row r="981" hidden="1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</row>
    <row r="982" hidden="1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</row>
    <row r="983" hidden="1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</row>
    <row r="984" hidden="1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</row>
    <row r="985" hidden="1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</row>
    <row r="986" hidden="1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</row>
    <row r="987" hidden="1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</row>
    <row r="988" hidden="1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</row>
    <row r="989" hidden="1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</row>
    <row r="990" hidden="1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</row>
    <row r="991" hidden="1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</row>
    <row r="992" hidden="1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</row>
    <row r="993" hidden="1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</row>
    <row r="994" hidden="1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</row>
    <row r="995" hidden="1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</row>
    <row r="996" hidden="1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</row>
    <row r="997" hidden="1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</row>
  </sheetData>
  <mergeCells count="7">
    <mergeCell ref="C1:I1"/>
    <mergeCell ref="B2:I2"/>
    <mergeCell ref="I4:I11"/>
    <mergeCell ref="B12:I12"/>
    <mergeCell ref="I14:I20"/>
    <mergeCell ref="B21:I21"/>
    <mergeCell ref="I23:I29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38"/>
    <col customWidth="1" min="2" max="2" width="34.63"/>
    <col customWidth="1" min="3" max="3" width="6.38"/>
  </cols>
  <sheetData>
    <row r="1">
      <c r="B1" s="191" t="s">
        <v>2372</v>
      </c>
    </row>
    <row r="2">
      <c r="B2" s="218" t="s">
        <v>2373</v>
      </c>
    </row>
    <row r="3">
      <c r="B3" s="218" t="s">
        <v>2374</v>
      </c>
    </row>
    <row r="4">
      <c r="B4" s="218" t="s">
        <v>2375</v>
      </c>
    </row>
    <row r="5">
      <c r="B5" s="218" t="s">
        <v>2376</v>
      </c>
    </row>
    <row r="6">
      <c r="B6" s="218" t="s">
        <v>2377</v>
      </c>
    </row>
  </sheetData>
  <hyperlinks>
    <hyperlink r:id="rId1" ref="B2"/>
    <hyperlink r:id="rId2" ref="B3"/>
    <hyperlink r:id="rId3" ref="B4"/>
    <hyperlink r:id="rId4" ref="B5"/>
    <hyperlink r:id="rId5" ref="B6"/>
  </hyperlinks>
  <drawing r:id="rId6"/>
</worksheet>
</file>